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150" windowWidth="7905" windowHeight="5250" activeTab="2"/>
  </bookViews>
  <sheets>
    <sheet name="Measurements" sheetId="1" r:id="rId1"/>
    <sheet name="Legenda" sheetId="2" r:id="rId2"/>
    <sheet name="Statistical" sheetId="3" r:id="rId3"/>
    <sheet name="Error with Iap costant" sheetId="4" r:id="rId4"/>
    <sheet name="Measurements done in Bari" sheetId="5" r:id="rId5"/>
  </sheets>
  <externalReferences>
    <externalReference r:id="rId8"/>
    <externalReference r:id="rId9"/>
  </externalReferences>
  <definedNames>
    <definedName name="CRITERIA" localSheetId="0">'Measurements'!$A$3:$A$134</definedName>
    <definedName name="Query_da_SPD_1" localSheetId="4">'Measurements done in Bari'!$A$1:$D$164</definedName>
  </definedNames>
  <calcPr fullCalcOnLoad="1"/>
</workbook>
</file>

<file path=xl/sharedStrings.xml><?xml version="1.0" encoding="utf-8"?>
<sst xmlns="http://schemas.openxmlformats.org/spreadsheetml/2006/main" count="1170" uniqueCount="514">
  <si>
    <t>29F</t>
  </si>
  <si>
    <t>26F</t>
  </si>
  <si>
    <t>1AD</t>
  </si>
  <si>
    <t>2BA</t>
  </si>
  <si>
    <t>25D</t>
  </si>
  <si>
    <t>2B0</t>
  </si>
  <si>
    <t>28A</t>
  </si>
  <si>
    <t>hot !!!</t>
  </si>
  <si>
    <t>26C</t>
  </si>
  <si>
    <t>2DD</t>
  </si>
  <si>
    <t>27C</t>
  </si>
  <si>
    <t>2BE</t>
  </si>
  <si>
    <t>2C8</t>
  </si>
  <si>
    <t>2AD</t>
  </si>
  <si>
    <t>2A0</t>
  </si>
  <si>
    <t>2AC</t>
  </si>
  <si>
    <t>26B</t>
  </si>
  <si>
    <t>26E</t>
  </si>
  <si>
    <t>27F</t>
  </si>
  <si>
    <t>28D</t>
  </si>
  <si>
    <t>25C</t>
  </si>
  <si>
    <t>26D</t>
  </si>
  <si>
    <t>23F</t>
  </si>
  <si>
    <t>23D</t>
  </si>
  <si>
    <t>24E</t>
  </si>
  <si>
    <t>2CA</t>
  </si>
  <si>
    <t>26A</t>
  </si>
  <si>
    <t>25E</t>
  </si>
  <si>
    <t>29B</t>
  </si>
  <si>
    <t>28C</t>
  </si>
  <si>
    <t>27A</t>
  </si>
  <si>
    <t>25F</t>
  </si>
  <si>
    <t>18B</t>
  </si>
  <si>
    <t>25B</t>
  </si>
  <si>
    <t>27D</t>
  </si>
  <si>
    <t>22C</t>
  </si>
  <si>
    <t>21B</t>
  </si>
  <si>
    <t>2FA</t>
  </si>
  <si>
    <t>2EB</t>
  </si>
  <si>
    <t>2B4</t>
  </si>
  <si>
    <t>2AF</t>
  </si>
  <si>
    <t>2A3</t>
  </si>
  <si>
    <t>28F</t>
  </si>
  <si>
    <t>25A</t>
  </si>
  <si>
    <t>31B</t>
  </si>
  <si>
    <t>2FF</t>
  </si>
  <si>
    <t>2B6</t>
  </si>
  <si>
    <t>2D0</t>
  </si>
  <si>
    <t>2AE</t>
  </si>
  <si>
    <t>2B2</t>
  </si>
  <si>
    <t>27B</t>
  </si>
  <si>
    <t>2A1</t>
  </si>
  <si>
    <t>Identification</t>
  </si>
  <si>
    <r>
      <t>I</t>
    </r>
    <r>
      <rPr>
        <vertAlign val="subscript"/>
        <sz val="10"/>
        <rFont val="Arial"/>
        <family val="2"/>
      </rPr>
      <t>APILOT</t>
    </r>
    <r>
      <rPr>
        <sz val="10"/>
        <rFont val="Arial"/>
        <family val="0"/>
      </rPr>
      <t xml:space="preserve"> [mA] </t>
    </r>
  </si>
  <si>
    <t>Comments</t>
  </si>
  <si>
    <r>
      <t>T</t>
    </r>
    <r>
      <rPr>
        <vertAlign val="subscript"/>
        <sz val="10"/>
        <rFont val="Arial"/>
        <family val="2"/>
      </rPr>
      <t>Offset</t>
    </r>
    <r>
      <rPr>
        <sz val="10"/>
        <rFont val="Arial"/>
        <family val="0"/>
      </rPr>
      <t xml:space="preserve"> [°C]</t>
    </r>
  </si>
  <si>
    <r>
      <t>T</t>
    </r>
    <r>
      <rPr>
        <vertAlign val="subscript"/>
        <sz val="10"/>
        <rFont val="Arial"/>
        <family val="2"/>
      </rPr>
      <t>Pt1000</t>
    </r>
    <r>
      <rPr>
        <sz val="10"/>
        <rFont val="Arial"/>
        <family val="0"/>
      </rPr>
      <t xml:space="preserve"> [°C]</t>
    </r>
  </si>
  <si>
    <t>THR +5°C</t>
  </si>
  <si>
    <t>THR -5°C</t>
  </si>
  <si>
    <t>Half-Stave</t>
  </si>
  <si>
    <t>Side</t>
  </si>
  <si>
    <t>A</t>
  </si>
  <si>
    <t>C</t>
  </si>
  <si>
    <t>Sector</t>
  </si>
  <si>
    <t>CH0</t>
  </si>
  <si>
    <t>CH1</t>
  </si>
  <si>
    <t>CH2</t>
  </si>
  <si>
    <t>CH3</t>
  </si>
  <si>
    <t>CH4</t>
  </si>
  <si>
    <t>CH5</t>
  </si>
  <si>
    <t>2CD</t>
  </si>
  <si>
    <t>29E</t>
  </si>
  <si>
    <t>2AB</t>
  </si>
  <si>
    <t>24F</t>
  </si>
  <si>
    <t>23E</t>
  </si>
  <si>
    <t>2A9</t>
  </si>
  <si>
    <t>2F4</t>
  </si>
  <si>
    <t>2E2</t>
  </si>
  <si>
    <t>2A7</t>
  </si>
  <si>
    <t>2C1</t>
  </si>
  <si>
    <t>2D5</t>
  </si>
  <si>
    <t>2D8</t>
  </si>
  <si>
    <t>2F3</t>
  </si>
  <si>
    <t>2DF</t>
  </si>
  <si>
    <t>2CE</t>
  </si>
  <si>
    <t>2CF</t>
  </si>
  <si>
    <t>2A6</t>
  </si>
  <si>
    <t>2B8</t>
  </si>
  <si>
    <t>2E0</t>
  </si>
  <si>
    <r>
      <t>R</t>
    </r>
    <r>
      <rPr>
        <vertAlign val="subscript"/>
        <sz val="10"/>
        <rFont val="Arial"/>
        <family val="2"/>
      </rPr>
      <t>Bus Pt1000</t>
    </r>
    <r>
      <rPr>
        <sz val="10"/>
        <rFont val="Arial"/>
        <family val="0"/>
      </rPr>
      <t xml:space="preserve"> [Ω]</t>
    </r>
  </si>
  <si>
    <r>
      <t>T</t>
    </r>
    <r>
      <rPr>
        <vertAlign val="subscript"/>
        <sz val="10"/>
        <rFont val="Arial"/>
        <family val="2"/>
      </rPr>
      <t>BUS Router</t>
    </r>
    <r>
      <rPr>
        <sz val="10"/>
        <rFont val="Arial"/>
        <family val="0"/>
      </rPr>
      <t xml:space="preserve"> [°C]</t>
    </r>
  </si>
  <si>
    <r>
      <t>T</t>
    </r>
    <r>
      <rPr>
        <vertAlign val="subscript"/>
        <sz val="10"/>
        <rFont val="Arial"/>
        <family val="2"/>
      </rPr>
      <t xml:space="preserve"> MCM Router</t>
    </r>
    <r>
      <rPr>
        <sz val="10"/>
        <rFont val="Arial"/>
        <family val="0"/>
      </rPr>
      <t xml:space="preserve"> [°C]</t>
    </r>
  </si>
  <si>
    <t>Hexadecimal value given by the router and read out via LabView; The value is read when MCM and BUS is powered</t>
  </si>
  <si>
    <t>Temperature measured with the Thermalcamera. The camera is pointed to the half-stave (= temperature of the BUS)</t>
  </si>
  <si>
    <r>
      <t>Router
T</t>
    </r>
    <r>
      <rPr>
        <vertAlign val="subscript"/>
        <sz val="10"/>
        <rFont val="Arial"/>
        <family val="0"/>
      </rPr>
      <t>MCM</t>
    </r>
    <r>
      <rPr>
        <sz val="10"/>
        <rFont val="Arial"/>
        <family val="0"/>
      </rPr>
      <t xml:space="preserve"> (HEX)</t>
    </r>
  </si>
  <si>
    <r>
      <t>Router
T</t>
    </r>
    <r>
      <rPr>
        <vertAlign val="subscript"/>
        <sz val="10"/>
        <rFont val="Arial"/>
        <family val="0"/>
      </rPr>
      <t>BUS</t>
    </r>
    <r>
      <rPr>
        <sz val="10"/>
        <rFont val="Arial"/>
        <family val="0"/>
      </rPr>
      <t xml:space="preserve"> (HEX)</t>
    </r>
  </si>
  <si>
    <r>
      <t>R</t>
    </r>
    <r>
      <rPr>
        <vertAlign val="subscript"/>
        <sz val="10"/>
        <rFont val="Arial"/>
        <family val="0"/>
      </rPr>
      <t>MCM Router</t>
    </r>
    <r>
      <rPr>
        <sz val="10"/>
        <rFont val="Arial"/>
        <family val="0"/>
      </rPr>
      <t xml:space="preserve"> [Ω] </t>
    </r>
  </si>
  <si>
    <r>
      <t>R</t>
    </r>
    <r>
      <rPr>
        <vertAlign val="subscript"/>
        <sz val="10"/>
        <rFont val="Arial"/>
        <family val="0"/>
      </rPr>
      <t>BUS Router</t>
    </r>
    <r>
      <rPr>
        <sz val="10"/>
        <rFont val="Arial"/>
        <family val="0"/>
      </rPr>
      <t xml:space="preserve"> [Ω]</t>
    </r>
  </si>
  <si>
    <r>
      <t>Thermal-
camera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[°C]</t>
    </r>
  </si>
  <si>
    <r>
      <t>Calculated value of the BUS temperature in °C:
Formula: (R</t>
    </r>
    <r>
      <rPr>
        <vertAlign val="subscript"/>
        <sz val="10"/>
        <rFont val="Arial"/>
        <family val="2"/>
      </rPr>
      <t xml:space="preserve">BUSRouter </t>
    </r>
    <r>
      <rPr>
        <sz val="10"/>
        <rFont val="Arial"/>
        <family val="0"/>
      </rPr>
      <t>- 5000) / 19.25</t>
    </r>
  </si>
  <si>
    <r>
      <t>Calculated value of the MCM temperature in °C:
Formula: (3500 / (LN(R</t>
    </r>
    <r>
      <rPr>
        <vertAlign val="subscript"/>
        <sz val="10"/>
        <rFont val="Arial"/>
        <family val="2"/>
      </rPr>
      <t xml:space="preserve">MCM Router </t>
    </r>
    <r>
      <rPr>
        <sz val="10"/>
        <rFont val="Arial"/>
        <family val="0"/>
      </rPr>
      <t>/ 4700) + 11.745)) - 273</t>
    </r>
  </si>
  <si>
    <r>
      <t>Difference between T</t>
    </r>
    <r>
      <rPr>
        <vertAlign val="subscript"/>
        <sz val="10"/>
        <rFont val="Arial"/>
        <family val="2"/>
      </rPr>
      <t>Pt1000</t>
    </r>
    <r>
      <rPr>
        <sz val="10"/>
        <rFont val="Arial"/>
        <family val="2"/>
      </rPr>
      <t xml:space="preserve"> and 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in °C:
Formula: T</t>
    </r>
    <r>
      <rPr>
        <vertAlign val="subscript"/>
        <sz val="10"/>
        <rFont val="Arial"/>
        <family val="2"/>
      </rPr>
      <t>Pt1000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C</t>
    </r>
  </si>
  <si>
    <r>
      <t>Difference of the resistances between both Pt1000 chain (Router and Cesar box) in Ω:
Formula: R</t>
    </r>
    <r>
      <rPr>
        <vertAlign val="subscript"/>
        <sz val="10"/>
        <rFont val="Arial"/>
        <family val="2"/>
      </rPr>
      <t>Bus Pt1000</t>
    </r>
    <r>
      <rPr>
        <sz val="10"/>
        <rFont val="Arial"/>
        <family val="2"/>
      </rPr>
      <t xml:space="preserve"> - R</t>
    </r>
    <r>
      <rPr>
        <vertAlign val="subscript"/>
        <sz val="10"/>
        <rFont val="Arial"/>
        <family val="2"/>
      </rPr>
      <t>BUS Router</t>
    </r>
  </si>
  <si>
    <r>
      <t>Calculated resistence of Pt1000 chain connected to the Cesa box in Ω:
Formula: (T</t>
    </r>
    <r>
      <rPr>
        <vertAlign val="subscript"/>
        <sz val="10"/>
        <rFont val="Arial"/>
        <family val="2"/>
      </rPr>
      <t>Pt1000</t>
    </r>
    <r>
      <rPr>
        <sz val="10"/>
        <rFont val="Arial"/>
        <family val="0"/>
      </rPr>
      <t xml:space="preserve"> * 3.85 + 1000) * 5</t>
    </r>
  </si>
  <si>
    <t>Temperature measured with the Pt1000 chain connected to the Cesar box in °C</t>
  </si>
  <si>
    <r>
      <t>ΔR</t>
    </r>
    <r>
      <rPr>
        <vertAlign val="subscript"/>
        <sz val="10"/>
        <rFont val="Arial"/>
        <family val="2"/>
      </rPr>
      <t xml:space="preserve"> BUS</t>
    </r>
    <r>
      <rPr>
        <sz val="10"/>
        <rFont val="Arial"/>
        <family val="0"/>
      </rPr>
      <t xml:space="preserve"> [</t>
    </r>
    <r>
      <rPr>
        <sz val="10"/>
        <rFont val="Arial"/>
        <family val="2"/>
      </rPr>
      <t>Ω</t>
    </r>
    <r>
      <rPr>
        <sz val="10"/>
        <rFont val="Arial"/>
        <family val="0"/>
      </rPr>
      <t>]</t>
    </r>
  </si>
  <si>
    <t>Threshold for Router (HEX)</t>
  </si>
  <si>
    <t>HExadecimal Threshold value to set on the Router for Interlock</t>
  </si>
  <si>
    <t>T= (Rextchain-5000)/19,25</t>
  </si>
  <si>
    <t>Rextchain=5000+19,25T</t>
  </si>
  <si>
    <t>Iap=0,235 mA</t>
  </si>
  <si>
    <t>HEX from Rudholf</t>
  </si>
  <si>
    <t>V ADC (Calculated)</t>
  </si>
  <si>
    <t>R EXT_Chain (Calculated)</t>
  </si>
  <si>
    <t>T chuck</t>
  </si>
  <si>
    <t>T Read HW_Ext_Chain (Pixel Bus)</t>
  </si>
  <si>
    <t>T Read SW (Pixel Bus)</t>
  </si>
  <si>
    <t>T Read SW (MCM)</t>
  </si>
  <si>
    <t>Sector 1</t>
  </si>
  <si>
    <t>LP72</t>
  </si>
  <si>
    <t>HS_163L</t>
  </si>
  <si>
    <t>LP71</t>
  </si>
  <si>
    <t>HS_162L</t>
  </si>
  <si>
    <t>LP65</t>
  </si>
  <si>
    <t>HS_161L</t>
  </si>
  <si>
    <t>Sector 10</t>
  </si>
  <si>
    <t>LP69</t>
  </si>
  <si>
    <t>HS_160L</t>
  </si>
  <si>
    <t>RP28</t>
  </si>
  <si>
    <t>HS_159R</t>
  </si>
  <si>
    <t>LP68</t>
  </si>
  <si>
    <t>HS_158L</t>
  </si>
  <si>
    <t>RP30</t>
  </si>
  <si>
    <t>HS_157R</t>
  </si>
  <si>
    <t>LP64</t>
  </si>
  <si>
    <t>HS_156L</t>
  </si>
  <si>
    <t>LP61</t>
  </si>
  <si>
    <t>HS_155L</t>
  </si>
  <si>
    <t>RP68</t>
  </si>
  <si>
    <t>HS_154R</t>
  </si>
  <si>
    <t>LP42</t>
  </si>
  <si>
    <t>HS_153L</t>
  </si>
  <si>
    <t>RP67</t>
  </si>
  <si>
    <t>HS_152R</t>
  </si>
  <si>
    <t>RP61</t>
  </si>
  <si>
    <t>HS_151R</t>
  </si>
  <si>
    <t>LP70</t>
  </si>
  <si>
    <t>HS_150L</t>
  </si>
  <si>
    <t>Sector 9</t>
  </si>
  <si>
    <t>RP69</t>
  </si>
  <si>
    <t>HS_149R</t>
  </si>
  <si>
    <t>RP70</t>
  </si>
  <si>
    <t>HS_148R</t>
  </si>
  <si>
    <t>LP46</t>
  </si>
  <si>
    <t>HS_147L</t>
  </si>
  <si>
    <t>RP37</t>
  </si>
  <si>
    <t>HS_146R</t>
  </si>
  <si>
    <t>LP44</t>
  </si>
  <si>
    <t>HS_145L</t>
  </si>
  <si>
    <t>NOT USED</t>
  </si>
  <si>
    <t>RP51</t>
  </si>
  <si>
    <t>HS_144R</t>
  </si>
  <si>
    <t>LP62</t>
  </si>
  <si>
    <t>HS_143L</t>
  </si>
  <si>
    <t>LP63</t>
  </si>
  <si>
    <t>HS_142L</t>
  </si>
  <si>
    <t>BAD</t>
  </si>
  <si>
    <t>RP62</t>
  </si>
  <si>
    <t>HS_141R</t>
  </si>
  <si>
    <t>RP63</t>
  </si>
  <si>
    <t>HS_140R</t>
  </si>
  <si>
    <t>LP60</t>
  </si>
  <si>
    <t>HS_139L</t>
  </si>
  <si>
    <t>RP66</t>
  </si>
  <si>
    <t>HS_138R</t>
  </si>
  <si>
    <t>RP65</t>
  </si>
  <si>
    <t>HS_137R</t>
  </si>
  <si>
    <t>LP59</t>
  </si>
  <si>
    <t>HS_136L</t>
  </si>
  <si>
    <t>Sector 8</t>
  </si>
  <si>
    <t>LP67</t>
  </si>
  <si>
    <t>HS_135L</t>
  </si>
  <si>
    <t>RP60</t>
  </si>
  <si>
    <t>HS_134R</t>
  </si>
  <si>
    <t>Dis-Assembled</t>
  </si>
  <si>
    <t>LP56</t>
  </si>
  <si>
    <t>HS_133L</t>
  </si>
  <si>
    <t>RP64</t>
  </si>
  <si>
    <t>HS_132R</t>
  </si>
  <si>
    <t>LP66</t>
  </si>
  <si>
    <t>HS_131L</t>
  </si>
  <si>
    <t>LP47</t>
  </si>
  <si>
    <t>HS_130L</t>
  </si>
  <si>
    <t>LP39</t>
  </si>
  <si>
    <t>HS_129L</t>
  </si>
  <si>
    <t>RP43</t>
  </si>
  <si>
    <t>HS_128R</t>
  </si>
  <si>
    <t>Under check</t>
  </si>
  <si>
    <t>RP54</t>
  </si>
  <si>
    <t>HS_127R</t>
  </si>
  <si>
    <t>LP43</t>
  </si>
  <si>
    <t>HS_126L</t>
  </si>
  <si>
    <t>RP48</t>
  </si>
  <si>
    <t>HS_125R</t>
  </si>
  <si>
    <t>RP52</t>
  </si>
  <si>
    <t>HS_124R</t>
  </si>
  <si>
    <t>Sector 7</t>
  </si>
  <si>
    <t>LP54</t>
  </si>
  <si>
    <t>HS_123L</t>
  </si>
  <si>
    <t>RP59</t>
  </si>
  <si>
    <t>HS_122R</t>
  </si>
  <si>
    <t>RP57</t>
  </si>
  <si>
    <t>HS_121R</t>
  </si>
  <si>
    <t>LP53</t>
  </si>
  <si>
    <t>HS_120L</t>
  </si>
  <si>
    <t>RP56</t>
  </si>
  <si>
    <t>HS_119R</t>
  </si>
  <si>
    <t>RP58</t>
  </si>
  <si>
    <t>HS_118R</t>
  </si>
  <si>
    <t>LP52</t>
  </si>
  <si>
    <t>HS_117L</t>
  </si>
  <si>
    <t>RP42</t>
  </si>
  <si>
    <t>HS_116R</t>
  </si>
  <si>
    <t>LP55</t>
  </si>
  <si>
    <t>HS_115L</t>
  </si>
  <si>
    <t>LP50</t>
  </si>
  <si>
    <t>HS_114L</t>
  </si>
  <si>
    <t>RP55</t>
  </si>
  <si>
    <t>HS_113R</t>
  </si>
  <si>
    <t>RP50</t>
  </si>
  <si>
    <t>HS_112R</t>
  </si>
  <si>
    <t>LP38</t>
  </si>
  <si>
    <t>HS_111L</t>
  </si>
  <si>
    <t>Sector 6</t>
  </si>
  <si>
    <t>RP39</t>
  </si>
  <si>
    <t>HS_110R</t>
  </si>
  <si>
    <t>LP37</t>
  </si>
  <si>
    <t>HS_109L</t>
  </si>
  <si>
    <t>RP53</t>
  </si>
  <si>
    <t>HS_108R</t>
  </si>
  <si>
    <t>LP40</t>
  </si>
  <si>
    <t>HS_107L</t>
  </si>
  <si>
    <t>RP41</t>
  </si>
  <si>
    <t>HS_106R</t>
  </si>
  <si>
    <t>LP41</t>
  </si>
  <si>
    <t>HS_105L</t>
  </si>
  <si>
    <t>LP48</t>
  </si>
  <si>
    <t>HS_104L</t>
  </si>
  <si>
    <t>RP46</t>
  </si>
  <si>
    <t>HS_103R</t>
  </si>
  <si>
    <t>LP34</t>
  </si>
  <si>
    <t>HS_102L</t>
  </si>
  <si>
    <t>RP45</t>
  </si>
  <si>
    <t>HS_101R</t>
  </si>
  <si>
    <t>Sector 5</t>
  </si>
  <si>
    <t>LP30</t>
  </si>
  <si>
    <t>HS_100L</t>
  </si>
  <si>
    <t>RP44</t>
  </si>
  <si>
    <t>HS_099R</t>
  </si>
  <si>
    <t>LP26</t>
  </si>
  <si>
    <t>HS_098L</t>
  </si>
  <si>
    <t>RP49</t>
  </si>
  <si>
    <t>HS_097R</t>
  </si>
  <si>
    <t>LP29</t>
  </si>
  <si>
    <t>HS_096L</t>
  </si>
  <si>
    <t>RP40</t>
  </si>
  <si>
    <t>HS_095R</t>
  </si>
  <si>
    <t>LP25</t>
  </si>
  <si>
    <t>HS_094L</t>
  </si>
  <si>
    <t>RP47</t>
  </si>
  <si>
    <t>HS_093R</t>
  </si>
  <si>
    <t>LP35</t>
  </si>
  <si>
    <t>HS_092L</t>
  </si>
  <si>
    <t>RP38</t>
  </si>
  <si>
    <t>HS_091R</t>
  </si>
  <si>
    <t>RP34</t>
  </si>
  <si>
    <t>HS_090R</t>
  </si>
  <si>
    <t>LP36</t>
  </si>
  <si>
    <t>HS_089L</t>
  </si>
  <si>
    <t>RP35</t>
  </si>
  <si>
    <t>HS_088R</t>
  </si>
  <si>
    <t>LP33</t>
  </si>
  <si>
    <t>HS_087L</t>
  </si>
  <si>
    <t>RP32</t>
  </si>
  <si>
    <t>HS_086R</t>
  </si>
  <si>
    <t>LP18</t>
  </si>
  <si>
    <t>HS_085L</t>
  </si>
  <si>
    <t>RP29</t>
  </si>
  <si>
    <t>HS_084R</t>
  </si>
  <si>
    <t>LP31</t>
  </si>
  <si>
    <t>HS_083L</t>
  </si>
  <si>
    <t>Sector 4</t>
  </si>
  <si>
    <t>RP25</t>
  </si>
  <si>
    <t>HS_082R</t>
  </si>
  <si>
    <t>LP13</t>
  </si>
  <si>
    <t>HS_081L</t>
  </si>
  <si>
    <t>RP21</t>
  </si>
  <si>
    <t>HS_080R</t>
  </si>
  <si>
    <t>RP24</t>
  </si>
  <si>
    <t>HS_079R</t>
  </si>
  <si>
    <t>R09</t>
  </si>
  <si>
    <t>HS_078R</t>
  </si>
  <si>
    <t>L08</t>
  </si>
  <si>
    <t>HS_077L</t>
  </si>
  <si>
    <t>LP27</t>
  </si>
  <si>
    <t>HS_076L</t>
  </si>
  <si>
    <t>HS_075R</t>
  </si>
  <si>
    <t>RP26</t>
  </si>
  <si>
    <t>HS_074R</t>
  </si>
  <si>
    <t>LP28</t>
  </si>
  <si>
    <t>HS_073L</t>
  </si>
  <si>
    <t>LP16</t>
  </si>
  <si>
    <t>HS_072L</t>
  </si>
  <si>
    <t>RP16</t>
  </si>
  <si>
    <t>HS_071R</t>
  </si>
  <si>
    <t>Sector 3</t>
  </si>
  <si>
    <t>RP17</t>
  </si>
  <si>
    <t>HS_070R</t>
  </si>
  <si>
    <t>LP23</t>
  </si>
  <si>
    <t>HS_069L</t>
  </si>
  <si>
    <t>RP18</t>
  </si>
  <si>
    <t>HS_068R</t>
  </si>
  <si>
    <t>LP21</t>
  </si>
  <si>
    <t>HS_067L</t>
  </si>
  <si>
    <t>RP14</t>
  </si>
  <si>
    <t>HS_066R</t>
  </si>
  <si>
    <t>LP17</t>
  </si>
  <si>
    <t>HS_065L</t>
  </si>
  <si>
    <t>RP20</t>
  </si>
  <si>
    <t>HS_064R</t>
  </si>
  <si>
    <t>RP19</t>
  </si>
  <si>
    <t>HS_063R</t>
  </si>
  <si>
    <t>LP22</t>
  </si>
  <si>
    <t>HS_062L</t>
  </si>
  <si>
    <t>LP24</t>
  </si>
  <si>
    <t>HS_061L</t>
  </si>
  <si>
    <t>RP10</t>
  </si>
  <si>
    <t>HS_060R</t>
  </si>
  <si>
    <t>Tested: OK</t>
  </si>
  <si>
    <t>LP15</t>
  </si>
  <si>
    <t>HS_059L</t>
  </si>
  <si>
    <t>RP15</t>
  </si>
  <si>
    <t>HS_058R</t>
  </si>
  <si>
    <t>RP02</t>
  </si>
  <si>
    <t>HS_057R</t>
  </si>
  <si>
    <t>LP01</t>
  </si>
  <si>
    <t>HS_056L</t>
  </si>
  <si>
    <t>Sector 2</t>
  </si>
  <si>
    <t>LP04</t>
  </si>
  <si>
    <t>HS_055L</t>
  </si>
  <si>
    <t>LP11</t>
  </si>
  <si>
    <t>HS_054L</t>
  </si>
  <si>
    <t>RP13</t>
  </si>
  <si>
    <t>HS_053R</t>
  </si>
  <si>
    <t>LP20</t>
  </si>
  <si>
    <t>HS_052L</t>
  </si>
  <si>
    <t>L_012</t>
  </si>
  <si>
    <t>HS_051L</t>
  </si>
  <si>
    <t>R_008</t>
  </si>
  <si>
    <t>HS_050R</t>
  </si>
  <si>
    <t>RP09</t>
  </si>
  <si>
    <t>HS_049R</t>
  </si>
  <si>
    <t>L_015</t>
  </si>
  <si>
    <t>HS_048L</t>
  </si>
  <si>
    <t>RP12</t>
  </si>
  <si>
    <t>HS_047R</t>
  </si>
  <si>
    <t>L_014</t>
  </si>
  <si>
    <t>HS_046L</t>
  </si>
  <si>
    <t>RP11</t>
  </si>
  <si>
    <t>HS_045R</t>
  </si>
  <si>
    <t>RP03</t>
  </si>
  <si>
    <t>HS_044R</t>
  </si>
  <si>
    <t>LP03</t>
  </si>
  <si>
    <t>HS_043L</t>
  </si>
  <si>
    <t>L_010</t>
  </si>
  <si>
    <t>HS_042L</t>
  </si>
  <si>
    <t>NOT</t>
  </si>
  <si>
    <t>R08</t>
  </si>
  <si>
    <t>HS_041R</t>
  </si>
  <si>
    <t>R_006</t>
  </si>
  <si>
    <t>HS_040R</t>
  </si>
  <si>
    <t>LP05</t>
  </si>
  <si>
    <t>HS_039L</t>
  </si>
  <si>
    <t>RP01</t>
  </si>
  <si>
    <t>HS_038R</t>
  </si>
  <si>
    <t>LP07</t>
  </si>
  <si>
    <t>HS_037L</t>
  </si>
  <si>
    <t>RP05</t>
  </si>
  <si>
    <t>HS_036R</t>
  </si>
  <si>
    <t>LP06</t>
  </si>
  <si>
    <t>HS_035L</t>
  </si>
  <si>
    <t>LP02</t>
  </si>
  <si>
    <t>HS_034L</t>
  </si>
  <si>
    <t>RP04</t>
  </si>
  <si>
    <t>HS_033R</t>
  </si>
  <si>
    <t>RP07</t>
  </si>
  <si>
    <t>HS_032R</t>
  </si>
  <si>
    <t>LP10</t>
  </si>
  <si>
    <t>HS_031L</t>
  </si>
  <si>
    <t>RP06</t>
  </si>
  <si>
    <t>HS_030R</t>
  </si>
  <si>
    <t>LP08</t>
  </si>
  <si>
    <t>HS_029L</t>
  </si>
  <si>
    <t>LP09</t>
  </si>
  <si>
    <t>HS_028L</t>
  </si>
  <si>
    <t>R_007</t>
  </si>
  <si>
    <t>HS_027R</t>
  </si>
  <si>
    <t>Sector 0</t>
  </si>
  <si>
    <t>L_011</t>
  </si>
  <si>
    <t>HS_026L</t>
  </si>
  <si>
    <t>R_010</t>
  </si>
  <si>
    <t>HS_025R</t>
  </si>
  <si>
    <t>R_013</t>
  </si>
  <si>
    <t>HS_024R</t>
  </si>
  <si>
    <t>L_009</t>
  </si>
  <si>
    <t>HS_023L</t>
  </si>
  <si>
    <t>L_005</t>
  </si>
  <si>
    <t>HS_022L</t>
  </si>
  <si>
    <t>R_002</t>
  </si>
  <si>
    <t>HS_021R</t>
  </si>
  <si>
    <t>L_002</t>
  </si>
  <si>
    <t>HS_020L</t>
  </si>
  <si>
    <t>R_004</t>
  </si>
  <si>
    <t>HS_019R</t>
  </si>
  <si>
    <t>L_004</t>
  </si>
  <si>
    <t>HS_018L</t>
  </si>
  <si>
    <t>L_001</t>
  </si>
  <si>
    <t>HS_017L</t>
  </si>
  <si>
    <t>R_001</t>
  </si>
  <si>
    <t>HS_016R</t>
  </si>
  <si>
    <t>LRX003</t>
  </si>
  <si>
    <t>HS_015L</t>
  </si>
  <si>
    <t>For WB Test</t>
  </si>
  <si>
    <t>RRX003</t>
  </si>
  <si>
    <t>HS_014R</t>
  </si>
  <si>
    <t>LRX005</t>
  </si>
  <si>
    <t>HS_013L</t>
  </si>
  <si>
    <t>LRX002</t>
  </si>
  <si>
    <t>HS_012L</t>
  </si>
  <si>
    <t>LRX001</t>
  </si>
  <si>
    <t>HS_011L</t>
  </si>
  <si>
    <t>RRX002</t>
  </si>
  <si>
    <t>HS_010R</t>
  </si>
  <si>
    <t>RRX005</t>
  </si>
  <si>
    <t>HS_009R</t>
  </si>
  <si>
    <t>LRX004</t>
  </si>
  <si>
    <t>HS_008L</t>
  </si>
  <si>
    <t>RRX001</t>
  </si>
  <si>
    <t>HS_007R</t>
  </si>
  <si>
    <t>PCB du</t>
  </si>
  <si>
    <t>HS_006</t>
  </si>
  <si>
    <t>HS_005</t>
  </si>
  <si>
    <t>Cerami</t>
  </si>
  <si>
    <t>HS_004</t>
  </si>
  <si>
    <t>HS_003</t>
  </si>
  <si>
    <t>.</t>
  </si>
  <si>
    <t>HS_002</t>
  </si>
  <si>
    <t>HS_001</t>
  </si>
  <si>
    <t>Production_Date</t>
  </si>
  <si>
    <t>Status</t>
  </si>
  <si>
    <t>MCM</t>
  </si>
  <si>
    <t>HALF_STAVE</t>
  </si>
  <si>
    <t>check</t>
  </si>
  <si>
    <t>Mean</t>
  </si>
  <si>
    <t>STD</t>
  </si>
  <si>
    <t>Frequency</t>
  </si>
  <si>
    <t>Class</t>
  </si>
  <si>
    <r>
      <t>Router
T</t>
    </r>
    <r>
      <rPr>
        <vertAlign val="subscript"/>
        <sz val="12"/>
        <color indexed="12"/>
        <rFont val="Arial"/>
        <family val="0"/>
      </rPr>
      <t>MCM</t>
    </r>
    <r>
      <rPr>
        <sz val="12"/>
        <color indexed="12"/>
        <rFont val="Arial"/>
        <family val="0"/>
      </rPr>
      <t xml:space="preserve"> (HEX)</t>
    </r>
  </si>
  <si>
    <r>
      <t>T</t>
    </r>
    <r>
      <rPr>
        <vertAlign val="subscript"/>
        <sz val="12"/>
        <color indexed="12"/>
        <rFont val="Arial"/>
        <family val="0"/>
      </rPr>
      <t>MCM Router</t>
    </r>
    <r>
      <rPr>
        <sz val="12"/>
        <color indexed="12"/>
        <rFont val="Arial"/>
        <family val="0"/>
      </rPr>
      <t xml:space="preserve"> [°C]</t>
    </r>
  </si>
  <si>
    <r>
      <t>R</t>
    </r>
    <r>
      <rPr>
        <vertAlign val="subscript"/>
        <sz val="12"/>
        <color indexed="12"/>
        <rFont val="Arial"/>
        <family val="0"/>
      </rPr>
      <t>MCM Router</t>
    </r>
    <r>
      <rPr>
        <sz val="12"/>
        <color indexed="12"/>
        <rFont val="Arial"/>
        <family val="0"/>
      </rPr>
      <t xml:space="preserve"> [Ω] </t>
    </r>
  </si>
  <si>
    <r>
      <t>Router
T</t>
    </r>
    <r>
      <rPr>
        <vertAlign val="subscript"/>
        <sz val="12"/>
        <color indexed="12"/>
        <rFont val="Arial"/>
        <family val="0"/>
      </rPr>
      <t>BUS</t>
    </r>
    <r>
      <rPr>
        <sz val="12"/>
        <color indexed="12"/>
        <rFont val="Arial"/>
        <family val="0"/>
      </rPr>
      <t xml:space="preserve"> (HEX)</t>
    </r>
  </si>
  <si>
    <r>
      <t>Thermal-
camera T</t>
    </r>
    <r>
      <rPr>
        <vertAlign val="subscript"/>
        <sz val="12"/>
        <color indexed="12"/>
        <rFont val="Arial"/>
        <family val="0"/>
      </rPr>
      <t>C</t>
    </r>
    <r>
      <rPr>
        <sz val="12"/>
        <color indexed="12"/>
        <rFont val="Arial"/>
        <family val="0"/>
      </rPr>
      <t xml:space="preserve"> [°C]</t>
    </r>
  </si>
  <si>
    <r>
      <t>R</t>
    </r>
    <r>
      <rPr>
        <vertAlign val="subscript"/>
        <sz val="12"/>
        <color indexed="12"/>
        <rFont val="Arial"/>
        <family val="0"/>
      </rPr>
      <t>BUS Router</t>
    </r>
    <r>
      <rPr>
        <sz val="12"/>
        <color indexed="12"/>
        <rFont val="Arial"/>
        <family val="0"/>
      </rPr>
      <t xml:space="preserve"> [Ω]</t>
    </r>
  </si>
  <si>
    <r>
      <t>I</t>
    </r>
    <r>
      <rPr>
        <vertAlign val="subscript"/>
        <sz val="12"/>
        <color indexed="12"/>
        <rFont val="Arial"/>
        <family val="0"/>
      </rPr>
      <t>APILOT</t>
    </r>
    <r>
      <rPr>
        <sz val="12"/>
        <color indexed="12"/>
        <rFont val="Arial"/>
        <family val="0"/>
      </rPr>
      <t xml:space="preserve"> [mA] </t>
    </r>
  </si>
  <si>
    <r>
      <t>T</t>
    </r>
    <r>
      <rPr>
        <vertAlign val="subscript"/>
        <sz val="12"/>
        <color indexed="12"/>
        <rFont val="Arial"/>
        <family val="0"/>
      </rPr>
      <t>BUS Router</t>
    </r>
    <r>
      <rPr>
        <sz val="12"/>
        <color indexed="12"/>
        <rFont val="Arial"/>
        <family val="0"/>
      </rPr>
      <t xml:space="preserve"> [°C]</t>
    </r>
  </si>
  <si>
    <r>
      <t>D</t>
    </r>
    <r>
      <rPr>
        <sz val="12"/>
        <color indexed="62"/>
        <rFont val="Arial"/>
        <family val="0"/>
      </rPr>
      <t xml:space="preserve"> T [°C]</t>
    </r>
  </si>
  <si>
    <t>TMCM Router [°C]</t>
  </si>
  <si>
    <t xml:space="preserve">RMCM Router [Ω] </t>
  </si>
  <si>
    <t>RBUS Router [Ω]</t>
  </si>
  <si>
    <t xml:space="preserve">IAPILOT [mA] </t>
  </si>
  <si>
    <t>TPt1000 [°C]</t>
  </si>
  <si>
    <t>TOffset [°C]</t>
  </si>
  <si>
    <t>RBus Pt1000 [Ω]</t>
  </si>
  <si>
    <t>ΔRBUS [Ω]</t>
  </si>
  <si>
    <r>
      <t>Router
T</t>
    </r>
    <r>
      <rPr>
        <vertAlign val="subscript"/>
        <sz val="9"/>
        <color indexed="12"/>
        <rFont val="Arial"/>
        <family val="0"/>
      </rPr>
      <t>MCM</t>
    </r>
    <r>
      <rPr>
        <sz val="9"/>
        <color indexed="12"/>
        <rFont val="Arial"/>
        <family val="0"/>
      </rPr>
      <t xml:space="preserve"> (HEX)</t>
    </r>
  </si>
  <si>
    <r>
      <t xml:space="preserve">T </t>
    </r>
    <r>
      <rPr>
        <vertAlign val="subscript"/>
        <sz val="9"/>
        <color indexed="12"/>
        <rFont val="Arial"/>
        <family val="0"/>
      </rPr>
      <t>trhreshold</t>
    </r>
    <r>
      <rPr>
        <sz val="9"/>
        <color indexed="12"/>
        <rFont val="Arial"/>
        <family val="0"/>
      </rPr>
      <t xml:space="preserve"> [°C]</t>
    </r>
  </si>
  <si>
    <r>
      <t>T</t>
    </r>
    <r>
      <rPr>
        <vertAlign val="subscript"/>
        <sz val="9"/>
        <color indexed="12"/>
        <rFont val="Arial"/>
        <family val="0"/>
      </rPr>
      <t>BUS Router</t>
    </r>
    <r>
      <rPr>
        <sz val="9"/>
        <color indexed="12"/>
        <rFont val="Arial"/>
        <family val="0"/>
      </rPr>
      <t xml:space="preserve"> [°C]</t>
    </r>
  </si>
  <si>
    <r>
      <t>I</t>
    </r>
    <r>
      <rPr>
        <vertAlign val="subscript"/>
        <sz val="9"/>
        <rFont val="Arial"/>
        <family val="0"/>
      </rPr>
      <t>Bus</t>
    </r>
    <r>
      <rPr>
        <sz val="9"/>
        <rFont val="Arial"/>
        <family val="0"/>
      </rPr>
      <t xml:space="preserve"> [A]</t>
    </r>
  </si>
  <si>
    <t>Thermal-Camera</t>
  </si>
  <si>
    <r>
      <t>Router T</t>
    </r>
    <r>
      <rPr>
        <vertAlign val="subscript"/>
        <sz val="10"/>
        <color indexed="12"/>
        <rFont val="Arial"/>
        <family val="0"/>
      </rPr>
      <t>bus</t>
    </r>
    <r>
      <rPr>
        <sz val="10"/>
        <color indexed="12"/>
        <rFont val="Arial"/>
        <family val="0"/>
      </rPr>
      <t xml:space="preserve"> (HEX)</t>
    </r>
  </si>
  <si>
    <r>
      <t xml:space="preserve">I </t>
    </r>
    <r>
      <rPr>
        <b/>
        <vertAlign val="subscript"/>
        <sz val="12"/>
        <rFont val="Arial"/>
        <family val="2"/>
      </rPr>
      <t>analog</t>
    </r>
    <r>
      <rPr>
        <b/>
        <sz val="12"/>
        <rFont val="Arial"/>
        <family val="2"/>
      </rPr>
      <t xml:space="preserve"> statistical</t>
    </r>
  </si>
  <si>
    <t xml:space="preserve">Min </t>
  </si>
  <si>
    <t xml:space="preserve">Max </t>
  </si>
  <si>
    <t>Error on temperatures calculation if IAPILOT is kept with a costant value = at mean distrubution value=0,2454</t>
  </si>
  <si>
    <r>
      <t xml:space="preserve">T </t>
    </r>
    <r>
      <rPr>
        <b/>
        <vertAlign val="subscript"/>
        <sz val="12"/>
        <rFont val="Arial"/>
        <family val="2"/>
      </rPr>
      <t>MCM</t>
    </r>
    <r>
      <rPr>
        <b/>
        <sz val="12"/>
        <rFont val="Arial"/>
        <family val="2"/>
      </rPr>
      <t xml:space="preserve"> statistical</t>
    </r>
  </si>
  <si>
    <t>The current supplied from pilot on both PT1000 and NTC thermal sensor shows a gaussian distribution in full agree with Giovanni studies. Only some Half-Staves show a  different current values.</t>
  </si>
  <si>
    <t>Statistical distribution of the temperatures error if assume a constant I APILOT current = mean value found.</t>
  </si>
  <si>
    <t>check on Sector 4 side C pos 4</t>
  </si>
  <si>
    <t>check on Sector 4 side C pos 1</t>
  </si>
  <si>
    <t>check on Sector 10 side A pos 2</t>
  </si>
  <si>
    <t>check on Sector 8 side A pos 5</t>
  </si>
  <si>
    <t>check on Sector 10side A pos 5</t>
  </si>
  <si>
    <r>
      <t>D</t>
    </r>
    <r>
      <rPr>
        <b/>
        <sz val="12"/>
        <rFont val="Arial"/>
        <family val="0"/>
      </rPr>
      <t>T (Pixel Bus)</t>
    </r>
  </si>
  <si>
    <r>
      <t>D</t>
    </r>
    <r>
      <rPr>
        <b/>
        <sz val="12"/>
        <rFont val="Arial"/>
        <family val="0"/>
      </rPr>
      <t>T (MCM)</t>
    </r>
  </si>
  <si>
    <t>Temp</t>
  </si>
  <si>
    <t>Frequency Bus</t>
  </si>
  <si>
    <t>Frequency MCM</t>
  </si>
  <si>
    <r>
      <t>Calculated value of the MCM resistance in Ω:
Formula: (1.379 * HEX2DEC(T</t>
    </r>
    <r>
      <rPr>
        <vertAlign val="subscript"/>
        <sz val="10"/>
        <rFont val="Arial"/>
        <family val="2"/>
      </rPr>
      <t>MCM</t>
    </r>
    <r>
      <rPr>
        <sz val="10"/>
        <rFont val="Arial"/>
        <family val="0"/>
      </rPr>
      <t>) + 513) / I</t>
    </r>
    <r>
      <rPr>
        <vertAlign val="subscript"/>
        <sz val="10"/>
        <rFont val="Arial"/>
        <family val="2"/>
      </rPr>
      <t>APILOT</t>
    </r>
  </si>
  <si>
    <r>
      <t>Calculated value of the BUS resistance in Ω:
Formula: (1.379 * HEX2DEC(T</t>
    </r>
    <r>
      <rPr>
        <vertAlign val="subscript"/>
        <sz val="10"/>
        <rFont val="Arial"/>
        <family val="2"/>
      </rPr>
      <t>BUS</t>
    </r>
    <r>
      <rPr>
        <sz val="10"/>
        <rFont val="Arial"/>
        <family val="0"/>
      </rPr>
      <t>) + 513) / I</t>
    </r>
    <r>
      <rPr>
        <vertAlign val="subscript"/>
        <sz val="10"/>
        <rFont val="Arial"/>
        <family val="2"/>
      </rPr>
      <t>APILOT</t>
    </r>
  </si>
  <si>
    <r>
      <t>Calculated value of the analogue pilot current in mA:
Formula: (1.379 * HEX2DEC(T</t>
    </r>
    <r>
      <rPr>
        <vertAlign val="subscript"/>
        <sz val="10"/>
        <rFont val="Arial"/>
        <family val="2"/>
      </rPr>
      <t>BUS</t>
    </r>
    <r>
      <rPr>
        <sz val="10"/>
        <rFont val="Arial"/>
        <family val="0"/>
      </rPr>
      <t>) + 513) / ((T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0"/>
      </rPr>
      <t>* 19.25) + 5000)</t>
    </r>
  </si>
  <si>
    <r>
      <t>Calculated upper limit to set in the Router for the calibration of thePt1000 chain read by the router in hexadecimal:
Formula: DEC2HEX((I</t>
    </r>
    <r>
      <rPr>
        <vertAlign val="subscript"/>
        <sz val="10"/>
        <rFont val="Arial"/>
        <family val="2"/>
      </rPr>
      <t xml:space="preserve">APILOT </t>
    </r>
    <r>
      <rPr>
        <sz val="10"/>
        <rFont val="Arial"/>
        <family val="0"/>
      </rPr>
      <t>* (5000 + 19.5 * (T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0"/>
      </rPr>
      <t>+ 5)) - 513) / 1.379)</t>
    </r>
  </si>
  <si>
    <r>
      <t>Calculated lower limit to set in the Router for the calibration of the Pt1000 chain read by the router in hexadecimal:
Formula: DEC2HEX((I</t>
    </r>
    <r>
      <rPr>
        <vertAlign val="subscript"/>
        <sz val="10"/>
        <rFont val="Arial"/>
        <family val="2"/>
      </rPr>
      <t>APILOT</t>
    </r>
    <r>
      <rPr>
        <sz val="10"/>
        <rFont val="Arial"/>
        <family val="0"/>
      </rPr>
      <t xml:space="preserve"> * (5000 + 19.5 * (T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- 5)) - 513) / 1.379</t>
    </r>
  </si>
  <si>
    <t>Altro</t>
  </si>
  <si>
    <t>%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</si>
</sst>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L.&quot;\ #,##0;\-&quot;L.&quot;\ #,##0"/>
    <numFmt numFmtId="202" formatCode="&quot;L.&quot;\ #,##0;[Red]\-&quot;L.&quot;\ #,##0"/>
    <numFmt numFmtId="203" formatCode="&quot;L.&quot;\ #,##0.00;\-&quot;L.&quot;\ #,##0.00"/>
    <numFmt numFmtId="204" formatCode="&quot;L.&quot;\ #,##0.00;[Red]\-&quot;L.&quot;\ #,##0.00"/>
    <numFmt numFmtId="205" formatCode="_-&quot;L.&quot;\ * #,##0_-;\-&quot;L.&quot;\ * #,##0_-;_-&quot;L.&quot;\ * &quot;-&quot;_-;_-@_-"/>
    <numFmt numFmtId="206" formatCode="_-&quot;L.&quot;\ * #,##0.00_-;\-&quot;L.&quot;\ * #,##0.00_-;_-&quot;L.&quot;\ * &quot;-&quot;??_-;_-@_-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[$-410]dddd\ d\ mmmm\ yyyy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vertAlign val="subscript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2"/>
      <color indexed="12"/>
      <name val="Arial"/>
      <family val="0"/>
    </font>
    <font>
      <vertAlign val="subscript"/>
      <sz val="12"/>
      <color indexed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62"/>
      <name val="Symbol"/>
      <family val="1"/>
    </font>
    <font>
      <sz val="12"/>
      <color indexed="62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vertAlign val="subscript"/>
      <sz val="9"/>
      <color indexed="12"/>
      <name val="Arial"/>
      <family val="0"/>
    </font>
    <font>
      <vertAlign val="subscript"/>
      <sz val="9"/>
      <name val="Arial"/>
      <family val="0"/>
    </font>
    <font>
      <b/>
      <vertAlign val="subscript"/>
      <sz val="12"/>
      <name val="Arial"/>
      <family val="2"/>
    </font>
    <font>
      <b/>
      <i/>
      <sz val="12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12"/>
      <name val="Symbol"/>
      <family val="1"/>
    </font>
    <font>
      <b/>
      <sz val="11.25"/>
      <name val="Arial"/>
      <family val="0"/>
    </font>
    <font>
      <b/>
      <sz val="9.25"/>
      <name val="Arial"/>
      <family val="0"/>
    </font>
    <font>
      <b/>
      <sz val="11.25"/>
      <name val="Symbol"/>
      <family val="1"/>
    </font>
    <font>
      <b/>
      <sz val="9.5"/>
      <name val="Arial"/>
      <family val="0"/>
    </font>
    <font>
      <sz val="9.5"/>
      <name val="Arial"/>
      <family val="0"/>
    </font>
    <font>
      <sz val="12"/>
      <color indexed="53"/>
      <name val="Arial"/>
      <family val="2"/>
    </font>
    <font>
      <b/>
      <vertAlign val="subscript"/>
      <sz val="10.75"/>
      <name val="Arial"/>
      <family val="2"/>
    </font>
    <font>
      <b/>
      <vertAlign val="subscript"/>
      <sz val="10"/>
      <name val="Arial"/>
      <family val="2"/>
    </font>
    <font>
      <b/>
      <vertAlign val="sub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1" fontId="0" fillId="0" borderId="0" xfId="0" applyNumberFormat="1" applyBorder="1" applyAlignment="1" quotePrefix="1">
      <alignment horizontal="center"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188" fontId="7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192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88" fontId="0" fillId="0" borderId="0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88" fontId="1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92" fontId="11" fillId="0" borderId="0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18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188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1" fontId="11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2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3" xfId="0" applyFont="1" applyBorder="1" applyAlignment="1">
      <alignment/>
    </xf>
    <xf numFmtId="188" fontId="11" fillId="0" borderId="0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188" fontId="10" fillId="0" borderId="15" xfId="0" applyNumberFormat="1" applyFont="1" applyBorder="1" applyAlignment="1" applyProtection="1">
      <alignment/>
      <protection/>
    </xf>
    <xf numFmtId="188" fontId="10" fillId="2" borderId="15" xfId="0" applyNumberFormat="1" applyFont="1" applyFill="1" applyBorder="1" applyAlignment="1" applyProtection="1">
      <alignment/>
      <protection/>
    </xf>
    <xf numFmtId="0" fontId="28" fillId="3" borderId="15" xfId="0" applyFont="1" applyFill="1" applyBorder="1" applyAlignment="1" applyProtection="1">
      <alignment/>
      <protection/>
    </xf>
    <xf numFmtId="0" fontId="28" fillId="3" borderId="16" xfId="0" applyFont="1" applyFill="1" applyBorder="1" applyAlignment="1" applyProtection="1">
      <alignment/>
      <protection/>
    </xf>
    <xf numFmtId="188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7" xfId="0" applyFont="1" applyBorder="1" applyAlignment="1">
      <alignment/>
    </xf>
    <xf numFmtId="14" fontId="11" fillId="0" borderId="0" xfId="0" applyNumberFormat="1" applyFont="1" applyBorder="1" applyAlignment="1">
      <alignment/>
    </xf>
    <xf numFmtId="188" fontId="11" fillId="2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8" xfId="0" applyFont="1" applyFill="1" applyBorder="1" applyAlignment="1">
      <alignment/>
    </xf>
    <xf numFmtId="188" fontId="11" fillId="0" borderId="0" xfId="0" applyNumberFormat="1" applyFont="1" applyAlignment="1">
      <alignment/>
    </xf>
    <xf numFmtId="188" fontId="11" fillId="2" borderId="0" xfId="0" applyNumberFormat="1" applyFont="1" applyFill="1" applyAlignment="1">
      <alignment/>
    </xf>
    <xf numFmtId="188" fontId="11" fillId="3" borderId="18" xfId="0" applyNumberFormat="1" applyFont="1" applyFill="1" applyBorder="1" applyAlignment="1">
      <alignment/>
    </xf>
    <xf numFmtId="188" fontId="11" fillId="3" borderId="0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3" xfId="0" applyFont="1" applyBorder="1" applyAlignment="1">
      <alignment/>
    </xf>
    <xf numFmtId="14" fontId="11" fillId="0" borderId="3" xfId="0" applyNumberFormat="1" applyFont="1" applyBorder="1" applyAlignment="1">
      <alignment/>
    </xf>
    <xf numFmtId="188" fontId="11" fillId="0" borderId="3" xfId="0" applyNumberFormat="1" applyFont="1" applyBorder="1" applyAlignment="1">
      <alignment/>
    </xf>
    <xf numFmtId="188" fontId="11" fillId="2" borderId="3" xfId="0" applyNumberFormat="1" applyFont="1" applyFill="1" applyBorder="1" applyAlignment="1">
      <alignment/>
    </xf>
    <xf numFmtId="188" fontId="11" fillId="3" borderId="3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1" xfId="0" applyFont="1" applyBorder="1" applyAlignment="1">
      <alignment/>
    </xf>
    <xf numFmtId="188" fontId="10" fillId="0" borderId="1" xfId="0" applyNumberFormat="1" applyFont="1" applyBorder="1" applyAlignment="1">
      <alignment/>
    </xf>
    <xf numFmtId="188" fontId="10" fillId="2" borderId="1" xfId="0" applyNumberFormat="1" applyFont="1" applyFill="1" applyBorder="1" applyAlignment="1">
      <alignment/>
    </xf>
    <xf numFmtId="0" fontId="28" fillId="3" borderId="1" xfId="0" applyFont="1" applyFill="1" applyBorder="1" applyAlignment="1">
      <alignment/>
    </xf>
    <xf numFmtId="0" fontId="28" fillId="3" borderId="21" xfId="0" applyFont="1" applyFill="1" applyBorder="1" applyAlignment="1">
      <alignment/>
    </xf>
    <xf numFmtId="188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8" fontId="11" fillId="3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/>
    </xf>
    <xf numFmtId="2" fontId="11" fillId="0" borderId="0" xfId="0" applyNumberFormat="1" applyFont="1" applyAlignment="1">
      <alignment/>
    </xf>
    <xf numFmtId="0" fontId="24" fillId="0" borderId="2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0" fillId="0" borderId="0" xfId="15" applyFont="1" applyBorder="1" applyAlignment="1">
      <alignment horizontal="center" vertical="center" wrapText="1"/>
    </xf>
    <xf numFmtId="192" fontId="20" fillId="0" borderId="0" xfId="15" applyNumberFormat="1" applyFont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188" fontId="20" fillId="0" borderId="0" xfId="15" applyNumberFormat="1" applyFont="1" applyFill="1" applyBorder="1" applyAlignment="1">
      <alignment horizontal="center" vertical="center" wrapText="1"/>
    </xf>
    <xf numFmtId="0" fontId="1" fillId="0" borderId="0" xfId="15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15" applyFont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15" applyFont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/>
    </xf>
    <xf numFmtId="192" fontId="13" fillId="0" borderId="0" xfId="15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0" fontId="1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APILOT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statistical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Statistical!$A$3:$A$96</c:f>
              <c:numCache/>
            </c:numRef>
          </c:cat>
          <c:val>
            <c:numRef>
              <c:f>Statistical!$B$3:$B$96</c:f>
              <c:numCache/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[uA]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Occurrences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'[1]Measurements made in Bari'!$A$100:$A$164</c:f>
              <c:strCache>
                <c:ptCount val="65"/>
                <c:pt idx="0">
                  <c:v>HS_099R</c:v>
                </c:pt>
                <c:pt idx="1">
                  <c:v>HS_100L</c:v>
                </c:pt>
                <c:pt idx="2">
                  <c:v>HS_101R</c:v>
                </c:pt>
                <c:pt idx="3">
                  <c:v>HS_102L</c:v>
                </c:pt>
                <c:pt idx="4">
                  <c:v>HS_103R</c:v>
                </c:pt>
                <c:pt idx="5">
                  <c:v>HS_104L</c:v>
                </c:pt>
                <c:pt idx="6">
                  <c:v>HS_105L</c:v>
                </c:pt>
                <c:pt idx="7">
                  <c:v>HS_106R</c:v>
                </c:pt>
                <c:pt idx="8">
                  <c:v>HS_107L</c:v>
                </c:pt>
                <c:pt idx="9">
                  <c:v>HS_108R</c:v>
                </c:pt>
                <c:pt idx="10">
                  <c:v>HS_109L</c:v>
                </c:pt>
                <c:pt idx="11">
                  <c:v>HS_110R</c:v>
                </c:pt>
                <c:pt idx="12">
                  <c:v>HS_111L</c:v>
                </c:pt>
                <c:pt idx="13">
                  <c:v>HS_112R</c:v>
                </c:pt>
                <c:pt idx="14">
                  <c:v>HS_113R</c:v>
                </c:pt>
                <c:pt idx="15">
                  <c:v>HS_114L</c:v>
                </c:pt>
                <c:pt idx="16">
                  <c:v>HS_115L</c:v>
                </c:pt>
                <c:pt idx="17">
                  <c:v>HS_116R</c:v>
                </c:pt>
                <c:pt idx="18">
                  <c:v>HS_117L</c:v>
                </c:pt>
                <c:pt idx="19">
                  <c:v>HS_118R</c:v>
                </c:pt>
                <c:pt idx="20">
                  <c:v>HS_119R</c:v>
                </c:pt>
                <c:pt idx="21">
                  <c:v>HS_120L</c:v>
                </c:pt>
                <c:pt idx="22">
                  <c:v>HS_121R</c:v>
                </c:pt>
                <c:pt idx="23">
                  <c:v>HS_122R</c:v>
                </c:pt>
                <c:pt idx="24">
                  <c:v>HS_123L</c:v>
                </c:pt>
                <c:pt idx="25">
                  <c:v>HS_124R</c:v>
                </c:pt>
                <c:pt idx="26">
                  <c:v>HS_125R</c:v>
                </c:pt>
                <c:pt idx="27">
                  <c:v>HS_126L</c:v>
                </c:pt>
                <c:pt idx="28">
                  <c:v>HS_127R</c:v>
                </c:pt>
                <c:pt idx="29">
                  <c:v>HS_128R</c:v>
                </c:pt>
                <c:pt idx="30">
                  <c:v>HS_129L</c:v>
                </c:pt>
                <c:pt idx="31">
                  <c:v>HS_130L</c:v>
                </c:pt>
                <c:pt idx="32">
                  <c:v>HS_131L</c:v>
                </c:pt>
                <c:pt idx="33">
                  <c:v>HS_132R</c:v>
                </c:pt>
                <c:pt idx="34">
                  <c:v>HS_133L</c:v>
                </c:pt>
                <c:pt idx="35">
                  <c:v>HS_134R</c:v>
                </c:pt>
                <c:pt idx="36">
                  <c:v>HS_135L</c:v>
                </c:pt>
                <c:pt idx="37">
                  <c:v>HS_136L</c:v>
                </c:pt>
                <c:pt idx="38">
                  <c:v>HS_137R</c:v>
                </c:pt>
                <c:pt idx="39">
                  <c:v>HS_138R</c:v>
                </c:pt>
                <c:pt idx="40">
                  <c:v>HS_139L</c:v>
                </c:pt>
                <c:pt idx="41">
                  <c:v>HS_140R</c:v>
                </c:pt>
                <c:pt idx="42">
                  <c:v>HS_141R</c:v>
                </c:pt>
                <c:pt idx="43">
                  <c:v>HS_142L</c:v>
                </c:pt>
                <c:pt idx="44">
                  <c:v>HS_143L</c:v>
                </c:pt>
                <c:pt idx="45">
                  <c:v>HS_144R</c:v>
                </c:pt>
                <c:pt idx="46">
                  <c:v>HS_145L</c:v>
                </c:pt>
                <c:pt idx="47">
                  <c:v>HS_146R</c:v>
                </c:pt>
                <c:pt idx="48">
                  <c:v>HS_147L</c:v>
                </c:pt>
                <c:pt idx="49">
                  <c:v>HS_148R</c:v>
                </c:pt>
                <c:pt idx="50">
                  <c:v>HS_149R</c:v>
                </c:pt>
                <c:pt idx="51">
                  <c:v>HS_150L</c:v>
                </c:pt>
                <c:pt idx="52">
                  <c:v>HS_151R</c:v>
                </c:pt>
                <c:pt idx="53">
                  <c:v>HS_152R</c:v>
                </c:pt>
                <c:pt idx="54">
                  <c:v>HS_153L</c:v>
                </c:pt>
                <c:pt idx="55">
                  <c:v>HS_154R</c:v>
                </c:pt>
                <c:pt idx="56">
                  <c:v>HS_155L</c:v>
                </c:pt>
                <c:pt idx="57">
                  <c:v>HS_156L</c:v>
                </c:pt>
                <c:pt idx="58">
                  <c:v>HS_157R</c:v>
                </c:pt>
                <c:pt idx="59">
                  <c:v>HS_158L</c:v>
                </c:pt>
                <c:pt idx="60">
                  <c:v>HS_159R</c:v>
                </c:pt>
                <c:pt idx="61">
                  <c:v>HS_160L</c:v>
                </c:pt>
                <c:pt idx="62">
                  <c:v>HS_161L</c:v>
                </c:pt>
                <c:pt idx="63">
                  <c:v>HS_162L</c:v>
                </c:pt>
                <c:pt idx="64">
                  <c:v>HS_163L</c:v>
                </c:pt>
              </c:strCache>
            </c:strRef>
          </c:cat>
          <c:val>
            <c:numRef>
              <c:f>'[1]Measurements made in Bari'!$I$100:$I$164</c:f>
              <c:numCache>
                <c:ptCount val="65"/>
                <c:pt idx="0">
                  <c:v>-3.5</c:v>
                </c:pt>
                <c:pt idx="1">
                  <c:v>-3.700000000000003</c:v>
                </c:pt>
                <c:pt idx="2">
                  <c:v>-3.099999999999998</c:v>
                </c:pt>
                <c:pt idx="3">
                  <c:v>-5.399999999999999</c:v>
                </c:pt>
                <c:pt idx="4">
                  <c:v>-0.3999999999999986</c:v>
                </c:pt>
                <c:pt idx="5">
                  <c:v>-5.800000000000001</c:v>
                </c:pt>
                <c:pt idx="6">
                  <c:v>-1.6000000000000014</c:v>
                </c:pt>
                <c:pt idx="7">
                  <c:v>-4</c:v>
                </c:pt>
                <c:pt idx="8">
                  <c:v>-4</c:v>
                </c:pt>
                <c:pt idx="9">
                  <c:v>-1</c:v>
                </c:pt>
                <c:pt idx="10">
                  <c:v>-1</c:v>
                </c:pt>
                <c:pt idx="11">
                  <c:v>-3</c:v>
                </c:pt>
                <c:pt idx="12">
                  <c:v>-2.1000000000000014</c:v>
                </c:pt>
                <c:pt idx="13">
                  <c:v>-1</c:v>
                </c:pt>
                <c:pt idx="15">
                  <c:v>0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-0.6999999999999993</c:v>
                </c:pt>
                <c:pt idx="20">
                  <c:v>-4.5</c:v>
                </c:pt>
                <c:pt idx="21">
                  <c:v>1.1999999999999993</c:v>
                </c:pt>
                <c:pt idx="22">
                  <c:v>-1.8000000000000007</c:v>
                </c:pt>
                <c:pt idx="23">
                  <c:v>1</c:v>
                </c:pt>
                <c:pt idx="24">
                  <c:v>3.5</c:v>
                </c:pt>
                <c:pt idx="25">
                  <c:v>0.3999999999999986</c:v>
                </c:pt>
                <c:pt idx="26">
                  <c:v>-1.6000000000000014</c:v>
                </c:pt>
                <c:pt idx="27">
                  <c:v>0.6000000000000014</c:v>
                </c:pt>
                <c:pt idx="29">
                  <c:v>-0.1999999999999993</c:v>
                </c:pt>
                <c:pt idx="30">
                  <c:v>-0.10000000000000142</c:v>
                </c:pt>
                <c:pt idx="31">
                  <c:v>1.6999999999999993</c:v>
                </c:pt>
                <c:pt idx="32">
                  <c:v>-0.5</c:v>
                </c:pt>
                <c:pt idx="33">
                  <c:v>-1.3000000000000007</c:v>
                </c:pt>
                <c:pt idx="35">
                  <c:v>0.5</c:v>
                </c:pt>
                <c:pt idx="36">
                  <c:v>-4</c:v>
                </c:pt>
                <c:pt idx="37">
                  <c:v>0</c:v>
                </c:pt>
                <c:pt idx="38">
                  <c:v>-2.1999999999999993</c:v>
                </c:pt>
                <c:pt idx="39">
                  <c:v>-2</c:v>
                </c:pt>
                <c:pt idx="40">
                  <c:v>0</c:v>
                </c:pt>
                <c:pt idx="41">
                  <c:v>-0.6000000000000014</c:v>
                </c:pt>
                <c:pt idx="43">
                  <c:v>-2.5</c:v>
                </c:pt>
                <c:pt idx="44">
                  <c:v>-0.5</c:v>
                </c:pt>
                <c:pt idx="45">
                  <c:v>0</c:v>
                </c:pt>
                <c:pt idx="46">
                  <c:v>1.8999999999999986</c:v>
                </c:pt>
                <c:pt idx="47">
                  <c:v>-0.6000000000000014</c:v>
                </c:pt>
                <c:pt idx="48">
                  <c:v>-1.3999999999999986</c:v>
                </c:pt>
                <c:pt idx="49">
                  <c:v>0.5</c:v>
                </c:pt>
                <c:pt idx="50">
                  <c:v>2.5</c:v>
                </c:pt>
                <c:pt idx="51">
                  <c:v>-4.399999999999999</c:v>
                </c:pt>
                <c:pt idx="52">
                  <c:v>-6.700000000000003</c:v>
                </c:pt>
                <c:pt idx="53">
                  <c:v>0.1999999999999993</c:v>
                </c:pt>
                <c:pt idx="54">
                  <c:v>2.5</c:v>
                </c:pt>
                <c:pt idx="55">
                  <c:v>0.5</c:v>
                </c:pt>
                <c:pt idx="56">
                  <c:v>-0.3000000000000007</c:v>
                </c:pt>
                <c:pt idx="57">
                  <c:v>-5</c:v>
                </c:pt>
                <c:pt idx="58">
                  <c:v>2.1000000000000014</c:v>
                </c:pt>
                <c:pt idx="59">
                  <c:v>-0.5</c:v>
                </c:pt>
                <c:pt idx="60">
                  <c:v>1.5</c:v>
                </c:pt>
                <c:pt idx="61">
                  <c:v>2</c:v>
                </c:pt>
                <c:pt idx="62">
                  <c:v>0.6999999999999993</c:v>
                </c:pt>
                <c:pt idx="63">
                  <c:v>0.3999999999999986</c:v>
                </c:pt>
                <c:pt idx="64">
                  <c:v>1.1999999999999993</c:v>
                </c:pt>
              </c:numCache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33302"/>
        <c:crosses val="autoZero"/>
        <c:auto val="1"/>
        <c:lblOffset val="100"/>
        <c:noMultiLvlLbl val="0"/>
      </c:catAx>
      <c:valAx>
        <c:axId val="15833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'[1]Measurements made in Bari'!$A$100:$A$164</c:f>
              <c:strCache>
                <c:ptCount val="65"/>
                <c:pt idx="0">
                  <c:v>HS_099R</c:v>
                </c:pt>
                <c:pt idx="1">
                  <c:v>HS_100L</c:v>
                </c:pt>
                <c:pt idx="2">
                  <c:v>HS_101R</c:v>
                </c:pt>
                <c:pt idx="3">
                  <c:v>HS_102L</c:v>
                </c:pt>
                <c:pt idx="4">
                  <c:v>HS_103R</c:v>
                </c:pt>
                <c:pt idx="5">
                  <c:v>HS_104L</c:v>
                </c:pt>
                <c:pt idx="6">
                  <c:v>HS_105L</c:v>
                </c:pt>
                <c:pt idx="7">
                  <c:v>HS_106R</c:v>
                </c:pt>
                <c:pt idx="8">
                  <c:v>HS_107L</c:v>
                </c:pt>
                <c:pt idx="9">
                  <c:v>HS_108R</c:v>
                </c:pt>
                <c:pt idx="10">
                  <c:v>HS_109L</c:v>
                </c:pt>
                <c:pt idx="11">
                  <c:v>HS_110R</c:v>
                </c:pt>
                <c:pt idx="12">
                  <c:v>HS_111L</c:v>
                </c:pt>
                <c:pt idx="13">
                  <c:v>HS_112R</c:v>
                </c:pt>
                <c:pt idx="14">
                  <c:v>HS_113R</c:v>
                </c:pt>
                <c:pt idx="15">
                  <c:v>HS_114L</c:v>
                </c:pt>
                <c:pt idx="16">
                  <c:v>HS_115L</c:v>
                </c:pt>
                <c:pt idx="17">
                  <c:v>HS_116R</c:v>
                </c:pt>
                <c:pt idx="18">
                  <c:v>HS_117L</c:v>
                </c:pt>
                <c:pt idx="19">
                  <c:v>HS_118R</c:v>
                </c:pt>
                <c:pt idx="20">
                  <c:v>HS_119R</c:v>
                </c:pt>
                <c:pt idx="21">
                  <c:v>HS_120L</c:v>
                </c:pt>
                <c:pt idx="22">
                  <c:v>HS_121R</c:v>
                </c:pt>
                <c:pt idx="23">
                  <c:v>HS_122R</c:v>
                </c:pt>
                <c:pt idx="24">
                  <c:v>HS_123L</c:v>
                </c:pt>
                <c:pt idx="25">
                  <c:v>HS_124R</c:v>
                </c:pt>
                <c:pt idx="26">
                  <c:v>HS_125R</c:v>
                </c:pt>
                <c:pt idx="27">
                  <c:v>HS_126L</c:v>
                </c:pt>
                <c:pt idx="28">
                  <c:v>HS_127R</c:v>
                </c:pt>
                <c:pt idx="29">
                  <c:v>HS_128R</c:v>
                </c:pt>
                <c:pt idx="30">
                  <c:v>HS_129L</c:v>
                </c:pt>
                <c:pt idx="31">
                  <c:v>HS_130L</c:v>
                </c:pt>
                <c:pt idx="32">
                  <c:v>HS_131L</c:v>
                </c:pt>
                <c:pt idx="33">
                  <c:v>HS_132R</c:v>
                </c:pt>
                <c:pt idx="34">
                  <c:v>HS_133L</c:v>
                </c:pt>
                <c:pt idx="35">
                  <c:v>HS_134R</c:v>
                </c:pt>
                <c:pt idx="36">
                  <c:v>HS_135L</c:v>
                </c:pt>
                <c:pt idx="37">
                  <c:v>HS_136L</c:v>
                </c:pt>
                <c:pt idx="38">
                  <c:v>HS_137R</c:v>
                </c:pt>
                <c:pt idx="39">
                  <c:v>HS_138R</c:v>
                </c:pt>
                <c:pt idx="40">
                  <c:v>HS_139L</c:v>
                </c:pt>
                <c:pt idx="41">
                  <c:v>HS_140R</c:v>
                </c:pt>
                <c:pt idx="42">
                  <c:v>HS_141R</c:v>
                </c:pt>
                <c:pt idx="43">
                  <c:v>HS_142L</c:v>
                </c:pt>
                <c:pt idx="44">
                  <c:v>HS_143L</c:v>
                </c:pt>
                <c:pt idx="45">
                  <c:v>HS_144R</c:v>
                </c:pt>
                <c:pt idx="46">
                  <c:v>HS_145L</c:v>
                </c:pt>
                <c:pt idx="47">
                  <c:v>HS_146R</c:v>
                </c:pt>
                <c:pt idx="48">
                  <c:v>HS_147L</c:v>
                </c:pt>
                <c:pt idx="49">
                  <c:v>HS_148R</c:v>
                </c:pt>
                <c:pt idx="50">
                  <c:v>HS_149R</c:v>
                </c:pt>
                <c:pt idx="51">
                  <c:v>HS_150L</c:v>
                </c:pt>
                <c:pt idx="52">
                  <c:v>HS_151R</c:v>
                </c:pt>
                <c:pt idx="53">
                  <c:v>HS_152R</c:v>
                </c:pt>
                <c:pt idx="54">
                  <c:v>HS_153L</c:v>
                </c:pt>
                <c:pt idx="55">
                  <c:v>HS_154R</c:v>
                </c:pt>
                <c:pt idx="56">
                  <c:v>HS_155L</c:v>
                </c:pt>
                <c:pt idx="57">
                  <c:v>HS_156L</c:v>
                </c:pt>
                <c:pt idx="58">
                  <c:v>HS_157R</c:v>
                </c:pt>
                <c:pt idx="59">
                  <c:v>HS_158L</c:v>
                </c:pt>
                <c:pt idx="60">
                  <c:v>HS_159R</c:v>
                </c:pt>
                <c:pt idx="61">
                  <c:v>HS_160L</c:v>
                </c:pt>
                <c:pt idx="62">
                  <c:v>HS_161L</c:v>
                </c:pt>
                <c:pt idx="63">
                  <c:v>HS_162L</c:v>
                </c:pt>
                <c:pt idx="64">
                  <c:v>HS_163L</c:v>
                </c:pt>
              </c:strCache>
            </c:strRef>
          </c:cat>
          <c:val>
            <c:numRef>
              <c:f>'[1]Measurements made in Bari'!$J$100:$J$164</c:f>
              <c:numCache>
                <c:ptCount val="65"/>
                <c:pt idx="0">
                  <c:v>-1</c:v>
                </c:pt>
                <c:pt idx="1">
                  <c:v>1.5</c:v>
                </c:pt>
                <c:pt idx="2">
                  <c:v>0.9000000000000021</c:v>
                </c:pt>
                <c:pt idx="3">
                  <c:v>2.8999999999999986</c:v>
                </c:pt>
                <c:pt idx="4">
                  <c:v>1</c:v>
                </c:pt>
                <c:pt idx="5">
                  <c:v>1.6999999999999993</c:v>
                </c:pt>
                <c:pt idx="6">
                  <c:v>1.8000000000000007</c:v>
                </c:pt>
                <c:pt idx="7">
                  <c:v>0</c:v>
                </c:pt>
                <c:pt idx="8">
                  <c:v>2</c:v>
                </c:pt>
                <c:pt idx="9">
                  <c:v>0.1999999999999993</c:v>
                </c:pt>
                <c:pt idx="10">
                  <c:v>0.3999999999999986</c:v>
                </c:pt>
                <c:pt idx="11">
                  <c:v>2.5</c:v>
                </c:pt>
                <c:pt idx="12">
                  <c:v>1</c:v>
                </c:pt>
                <c:pt idx="13">
                  <c:v>2</c:v>
                </c:pt>
                <c:pt idx="15">
                  <c:v>1.3000000000000007</c:v>
                </c:pt>
                <c:pt idx="16">
                  <c:v>2.6999999999999993</c:v>
                </c:pt>
                <c:pt idx="17">
                  <c:v>0.5</c:v>
                </c:pt>
                <c:pt idx="18">
                  <c:v>1.6999999999999993</c:v>
                </c:pt>
                <c:pt idx="19">
                  <c:v>0.5</c:v>
                </c:pt>
                <c:pt idx="20">
                  <c:v>1</c:v>
                </c:pt>
                <c:pt idx="21">
                  <c:v>1.6000000000000014</c:v>
                </c:pt>
                <c:pt idx="22">
                  <c:v>-0.1999999999999993</c:v>
                </c:pt>
                <c:pt idx="23">
                  <c:v>0.5</c:v>
                </c:pt>
                <c:pt idx="24">
                  <c:v>-0.5</c:v>
                </c:pt>
                <c:pt idx="25">
                  <c:v>-0.6999999999999993</c:v>
                </c:pt>
                <c:pt idx="26">
                  <c:v>1.6000000000000014</c:v>
                </c:pt>
                <c:pt idx="27">
                  <c:v>2.6000000000000014</c:v>
                </c:pt>
                <c:pt idx="29">
                  <c:v>3.3999999999999986</c:v>
                </c:pt>
                <c:pt idx="30">
                  <c:v>2.8999999999999986</c:v>
                </c:pt>
                <c:pt idx="31">
                  <c:v>8.600000000000001</c:v>
                </c:pt>
                <c:pt idx="32">
                  <c:v>1.5</c:v>
                </c:pt>
                <c:pt idx="33">
                  <c:v>0.6000000000000014</c:v>
                </c:pt>
                <c:pt idx="35">
                  <c:v>1.5</c:v>
                </c:pt>
                <c:pt idx="36">
                  <c:v>2.5</c:v>
                </c:pt>
                <c:pt idx="37">
                  <c:v>3</c:v>
                </c:pt>
                <c:pt idx="38">
                  <c:v>1.6000000000000014</c:v>
                </c:pt>
                <c:pt idx="39">
                  <c:v>0.6000000000000014</c:v>
                </c:pt>
                <c:pt idx="40">
                  <c:v>0.6999999999999993</c:v>
                </c:pt>
                <c:pt idx="41">
                  <c:v>-0.3000000000000007</c:v>
                </c:pt>
                <c:pt idx="43">
                  <c:v>0.6999999999999993</c:v>
                </c:pt>
                <c:pt idx="44">
                  <c:v>1.6999999999999993</c:v>
                </c:pt>
                <c:pt idx="45">
                  <c:v>0</c:v>
                </c:pt>
                <c:pt idx="46">
                  <c:v>0.5</c:v>
                </c:pt>
                <c:pt idx="47">
                  <c:v>0.6000000000000014</c:v>
                </c:pt>
                <c:pt idx="48">
                  <c:v>0.6000000000000014</c:v>
                </c:pt>
                <c:pt idx="49">
                  <c:v>0.8000000000000007</c:v>
                </c:pt>
                <c:pt idx="50">
                  <c:v>1.5</c:v>
                </c:pt>
                <c:pt idx="51">
                  <c:v>2.6999999999999993</c:v>
                </c:pt>
                <c:pt idx="52">
                  <c:v>3.1000000000000014</c:v>
                </c:pt>
                <c:pt idx="53">
                  <c:v>0.10000000000000142</c:v>
                </c:pt>
                <c:pt idx="54">
                  <c:v>2.6000000000000014</c:v>
                </c:pt>
                <c:pt idx="55">
                  <c:v>0.6000000000000014</c:v>
                </c:pt>
                <c:pt idx="56">
                  <c:v>0.6000000000000014</c:v>
                </c:pt>
                <c:pt idx="57">
                  <c:v>0.6999999999999993</c:v>
                </c:pt>
                <c:pt idx="58">
                  <c:v>0.3999999999999986</c:v>
                </c:pt>
                <c:pt idx="59">
                  <c:v>1.8999999999999986</c:v>
                </c:pt>
                <c:pt idx="60">
                  <c:v>0.6000000000000014</c:v>
                </c:pt>
                <c:pt idx="61">
                  <c:v>0</c:v>
                </c:pt>
                <c:pt idx="62">
                  <c:v>0.8000000000000007</c:v>
                </c:pt>
                <c:pt idx="63">
                  <c:v>0</c:v>
                </c:pt>
                <c:pt idx="64">
                  <c:v>2</c:v>
                </c:pt>
              </c:numCache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33"/>
          <c:w val="0.99025"/>
          <c:h val="0.9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'Measurements done in Bari'!$M$1</c:f>
              <c:strCache>
                <c:ptCount val="1"/>
                <c:pt idx="0">
                  <c:v>Frequency MCM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'Measurements done in Bari'!$L$2:$L$25</c:f>
              <c:numCache/>
            </c:numRef>
          </c:cat>
          <c:val>
            <c:numRef>
              <c:f>'Measurements done in Bari'!$M$2:$M$25</c:f>
              <c:numCache/>
            </c:numRef>
          </c:val>
          <c:shape val="box"/>
        </c:ser>
        <c:ser>
          <c:idx val="1"/>
          <c:order val="1"/>
          <c:tx>
            <c:strRef>
              <c:f>'Measurements done in Bari'!$N$1</c:f>
              <c:strCache>
                <c:ptCount val="1"/>
                <c:pt idx="0">
                  <c:v>Frequency Bus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'Measurements done in Bari'!$N$2:$N$25</c:f>
              <c:numCache/>
            </c:numRef>
          </c:val>
          <c:shape val="box"/>
        </c:ser>
        <c:shape val="box"/>
        <c:axId val="66861505"/>
        <c:axId val="64882634"/>
        <c:axId val="47072795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61505"/>
        <c:crossesAt val="1"/>
        <c:crossBetween val="between"/>
        <c:dispUnits/>
      </c:valAx>
      <c:ser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8263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8"/>
          <c:y val="0.93075"/>
          <c:w val="0.486"/>
          <c:h val="0.069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</a:t>
            </a:r>
            <a:r>
              <a:rPr lang="en-US" cap="none" sz="1075" b="1" i="0" u="none" baseline="-25000">
                <a:latin typeface="Arial"/>
                <a:ea typeface="Arial"/>
                <a:cs typeface="Arial"/>
              </a:rPr>
              <a:t>APILOT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statistical (zoom)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Statistical!$A$54:$A$67</c:f>
              <c:numCache/>
            </c:numRef>
          </c:cat>
          <c:val>
            <c:numRef>
              <c:f>Statistical!$B$54:$B$67</c:f>
              <c:numCache/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APILOT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Current [uA]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30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 MCM (statistical)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Statistical!$A$100:$A$114</c:f>
              <c:numCache/>
            </c:numRef>
          </c:cat>
          <c:val>
            <c:numRef>
              <c:f>Statistical!$B$100:$B$114</c:f>
              <c:numCache/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Temp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6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D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T [°C]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'Error with Iap costant'!$A$140:$A$156</c:f>
              <c:numCache>
                <c:ptCount val="17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</c:numCache>
            </c:numRef>
          </c:cat>
          <c:val>
            <c:numRef>
              <c:f>'Error with Iap costant'!$B$140:$B$156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11</c:v>
                </c:pt>
                <c:pt idx="6">
                  <c:v>17</c:v>
                </c:pt>
                <c:pt idx="7">
                  <c:v>27</c:v>
                </c:pt>
                <c:pt idx="8">
                  <c:v>18</c:v>
                </c:pt>
                <c:pt idx="9">
                  <c:v>17</c:v>
                </c:pt>
                <c:pt idx="10">
                  <c:v>14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axId val="8006199"/>
        <c:axId val="4946928"/>
      </c:bar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Error temp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6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APILOT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distribution (zoom)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Statistical!$A$54:$A$67</c:f>
              <c:numCache/>
            </c:numRef>
          </c:cat>
          <c:val>
            <c:numRef>
              <c:f>Statistical!$B$54:$B$67</c:f>
              <c:numCache/>
            </c:numRef>
          </c:val>
        </c:ser>
        <c:gapWidth val="280"/>
        <c:axId val="44522353"/>
        <c:axId val="6515685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Statistical!$X$54:$X$67</c:f>
              <c:numCache/>
            </c:numRef>
          </c:val>
          <c:smooth val="1"/>
        </c:ser>
        <c:axId val="49540811"/>
        <c:axId val="43214116"/>
      </c:lineChart>
      <c:catAx>
        <c:axId val="4452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APILOT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Current [uA]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6858"/>
        <c:crosses val="autoZero"/>
        <c:auto val="0"/>
        <c:lblOffset val="100"/>
        <c:noMultiLvlLbl val="0"/>
      </c:cat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crossAx val="44522353"/>
        <c:crossesAt val="1"/>
        <c:crossBetween val="between"/>
        <c:dispUnits/>
      </c:valAx>
      <c:catAx>
        <c:axId val="49540811"/>
        <c:scaling>
          <c:orientation val="minMax"/>
        </c:scaling>
        <c:axPos val="b"/>
        <c:delete val="1"/>
        <c:majorTickMark val="in"/>
        <c:minorTickMark val="none"/>
        <c:tickLblPos val="nextTo"/>
        <c:crossAx val="43214116"/>
        <c:crosses val="autoZero"/>
        <c:auto val="0"/>
        <c:lblOffset val="100"/>
        <c:noMultiLvlLbl val="0"/>
      </c:catAx>
      <c:valAx>
        <c:axId val="43214116"/>
        <c:scaling>
          <c:orientation val="minMax"/>
        </c:scaling>
        <c:axPos val="l"/>
        <c:delete val="1"/>
        <c:majorTickMark val="in"/>
        <c:minorTickMark val="none"/>
        <c:tickLblPos val="nextTo"/>
        <c:crossAx val="49540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HEX Threshold value distrubution for T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limit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=35°C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Statistical!$C$135:$C$144</c:f>
              <c:strCache/>
            </c:strRef>
          </c:cat>
          <c:val>
            <c:numRef>
              <c:f>Statistical!$B$135:$B$144</c:f>
              <c:numCache/>
            </c:numRef>
          </c:val>
        </c:ser>
        <c:axId val="53382725"/>
        <c:axId val="10682478"/>
      </c:barChart>
      <c:catAx>
        <c:axId val="5338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Occurences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82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T [°C]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'Error with Iap costant'!$A$140:$A$156</c:f>
              <c:numCache/>
            </c:numRef>
          </c:cat>
          <c:val>
            <c:numRef>
              <c:f>'Error with Iap costant'!$B$140:$B$156</c:f>
              <c:numCache/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Error temp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33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'Measurements done in Bari'!$A$100:$A$164</c:f>
              <c:strCache/>
            </c:strRef>
          </c:cat>
          <c:val>
            <c:numRef>
              <c:f>'Measurements done in Bari'!$I$100:$I$164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8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'Measurements done in Bari'!$A$100:$A$164</c:f>
              <c:strCache/>
            </c:strRef>
          </c:cat>
          <c:val>
            <c:numRef>
              <c:f>'Measurements done in Bari'!$J$100:$J$164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auto val="1"/>
        <c:lblOffset val="100"/>
        <c:noMultiLvlLbl val="0"/>
      </c:catAx>
      <c:valAx>
        <c:axId val="325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38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133350</xdr:rowOff>
    </xdr:from>
    <xdr:to>
      <xdr:col>20</xdr:col>
      <xdr:colOff>133350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6172200" y="581025"/>
        <a:ext cx="7448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22</xdr:row>
      <xdr:rowOff>152400</xdr:rowOff>
    </xdr:from>
    <xdr:to>
      <xdr:col>18</xdr:col>
      <xdr:colOff>476250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7229475" y="4410075"/>
        <a:ext cx="5514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68</xdr:row>
      <xdr:rowOff>0</xdr:rowOff>
    </xdr:from>
    <xdr:to>
      <xdr:col>18</xdr:col>
      <xdr:colOff>9525</xdr:colOff>
      <xdr:row>83</xdr:row>
      <xdr:rowOff>114300</xdr:rowOff>
    </xdr:to>
    <xdr:graphicFrame>
      <xdr:nvGraphicFramePr>
        <xdr:cNvPr id="3" name="Chart 3"/>
        <xdr:cNvGraphicFramePr/>
      </xdr:nvGraphicFramePr>
      <xdr:xfrm>
        <a:off x="6781800" y="13020675"/>
        <a:ext cx="54959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48</xdr:row>
      <xdr:rowOff>171450</xdr:rowOff>
    </xdr:from>
    <xdr:to>
      <xdr:col>18</xdr:col>
      <xdr:colOff>57150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6800850" y="9382125"/>
        <a:ext cx="55245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533400</xdr:colOff>
      <xdr:row>22</xdr:row>
      <xdr:rowOff>171450</xdr:rowOff>
    </xdr:from>
    <xdr:to>
      <xdr:col>27</xdr:col>
      <xdr:colOff>47625</xdr:colOff>
      <xdr:row>39</xdr:row>
      <xdr:rowOff>123825</xdr:rowOff>
    </xdr:to>
    <xdr:graphicFrame>
      <xdr:nvGraphicFramePr>
        <xdr:cNvPr id="5" name="Chart 6"/>
        <xdr:cNvGraphicFramePr/>
      </xdr:nvGraphicFramePr>
      <xdr:xfrm>
        <a:off x="12801600" y="4429125"/>
        <a:ext cx="589597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600075</xdr:colOff>
      <xdr:row>85</xdr:row>
      <xdr:rowOff>28575</xdr:rowOff>
    </xdr:from>
    <xdr:to>
      <xdr:col>18</xdr:col>
      <xdr:colOff>0</xdr:colOff>
      <xdr:row>100</xdr:row>
      <xdr:rowOff>76200</xdr:rowOff>
    </xdr:to>
    <xdr:graphicFrame>
      <xdr:nvGraphicFramePr>
        <xdr:cNvPr id="6" name="Chart 7"/>
        <xdr:cNvGraphicFramePr/>
      </xdr:nvGraphicFramePr>
      <xdr:xfrm>
        <a:off x="6772275" y="16287750"/>
        <a:ext cx="549592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76200</xdr:rowOff>
    </xdr:from>
    <xdr:to>
      <xdr:col>22</xdr:col>
      <xdr:colOff>400050</xdr:colOff>
      <xdr:row>18</xdr:row>
      <xdr:rowOff>57150</xdr:rowOff>
    </xdr:to>
    <xdr:graphicFrame>
      <xdr:nvGraphicFramePr>
        <xdr:cNvPr id="1" name="Chart 5"/>
        <xdr:cNvGraphicFramePr/>
      </xdr:nvGraphicFramePr>
      <xdr:xfrm>
        <a:off x="8848725" y="7334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166</xdr:row>
      <xdr:rowOff>114300</xdr:rowOff>
    </xdr:from>
    <xdr:to>
      <xdr:col>9</xdr:col>
      <xdr:colOff>161925</xdr:colOff>
      <xdr:row>185</xdr:row>
      <xdr:rowOff>28575</xdr:rowOff>
    </xdr:to>
    <xdr:graphicFrame>
      <xdr:nvGraphicFramePr>
        <xdr:cNvPr id="1" name="Chart 1"/>
        <xdr:cNvGraphicFramePr/>
      </xdr:nvGraphicFramePr>
      <xdr:xfrm>
        <a:off x="2324100" y="31718250"/>
        <a:ext cx="86106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188</xdr:row>
      <xdr:rowOff>0</xdr:rowOff>
    </xdr:from>
    <xdr:to>
      <xdr:col>9</xdr:col>
      <xdr:colOff>142875</xdr:colOff>
      <xdr:row>206</xdr:row>
      <xdr:rowOff>57150</xdr:rowOff>
    </xdr:to>
    <xdr:graphicFrame>
      <xdr:nvGraphicFramePr>
        <xdr:cNvPr id="2" name="Chart 2"/>
        <xdr:cNvGraphicFramePr/>
      </xdr:nvGraphicFramePr>
      <xdr:xfrm>
        <a:off x="2295525" y="35290125"/>
        <a:ext cx="86201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166</xdr:row>
      <xdr:rowOff>133350</xdr:rowOff>
    </xdr:from>
    <xdr:to>
      <xdr:col>9</xdr:col>
      <xdr:colOff>161925</xdr:colOff>
      <xdr:row>185</xdr:row>
      <xdr:rowOff>28575</xdr:rowOff>
    </xdr:to>
    <xdr:graphicFrame>
      <xdr:nvGraphicFramePr>
        <xdr:cNvPr id="3" name="Chart 3"/>
        <xdr:cNvGraphicFramePr/>
      </xdr:nvGraphicFramePr>
      <xdr:xfrm>
        <a:off x="2324100" y="31718250"/>
        <a:ext cx="86106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188</xdr:row>
      <xdr:rowOff>0</xdr:rowOff>
    </xdr:from>
    <xdr:to>
      <xdr:col>9</xdr:col>
      <xdr:colOff>142875</xdr:colOff>
      <xdr:row>206</xdr:row>
      <xdr:rowOff>57150</xdr:rowOff>
    </xdr:to>
    <xdr:graphicFrame>
      <xdr:nvGraphicFramePr>
        <xdr:cNvPr id="4" name="Chart 4"/>
        <xdr:cNvGraphicFramePr/>
      </xdr:nvGraphicFramePr>
      <xdr:xfrm>
        <a:off x="2295525" y="35290125"/>
        <a:ext cx="86201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1552575</xdr:colOff>
      <xdr:row>25</xdr:row>
      <xdr:rowOff>161925</xdr:rowOff>
    </xdr:from>
    <xdr:to>
      <xdr:col>17</xdr:col>
      <xdr:colOff>304800</xdr:colOff>
      <xdr:row>41</xdr:row>
      <xdr:rowOff>85725</xdr:rowOff>
    </xdr:to>
    <xdr:graphicFrame>
      <xdr:nvGraphicFramePr>
        <xdr:cNvPr id="5" name="Chart 5"/>
        <xdr:cNvGraphicFramePr/>
      </xdr:nvGraphicFramePr>
      <xdr:xfrm>
        <a:off x="12934950" y="4895850"/>
        <a:ext cx="58864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D_temperature_calibration_final_mich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surements"/>
      <sheetName val="Comments"/>
      <sheetName val="Statistical"/>
      <sheetName val="Error with Iap costant"/>
      <sheetName val="Measurements made in Bari"/>
    </sheetNames>
    <sheetDataSet>
      <sheetData sheetId="4">
        <row r="100">
          <cell r="A100" t="str">
            <v>HS_099R</v>
          </cell>
          <cell r="I100">
            <v>-3.5</v>
          </cell>
          <cell r="J100">
            <v>-1</v>
          </cell>
        </row>
        <row r="101">
          <cell r="A101" t="str">
            <v>HS_100L</v>
          </cell>
          <cell r="I101">
            <v>-3.700000000000003</v>
          </cell>
          <cell r="J101">
            <v>1.5</v>
          </cell>
        </row>
        <row r="102">
          <cell r="A102" t="str">
            <v>HS_101R</v>
          </cell>
          <cell r="I102">
            <v>-3.099999999999998</v>
          </cell>
          <cell r="J102">
            <v>0.9000000000000021</v>
          </cell>
        </row>
        <row r="103">
          <cell r="A103" t="str">
            <v>HS_102L</v>
          </cell>
          <cell r="I103">
            <v>-5.399999999999999</v>
          </cell>
          <cell r="J103">
            <v>2.8999999999999986</v>
          </cell>
        </row>
        <row r="104">
          <cell r="A104" t="str">
            <v>HS_103R</v>
          </cell>
          <cell r="I104">
            <v>-0.3999999999999986</v>
          </cell>
          <cell r="J104">
            <v>1</v>
          </cell>
        </row>
        <row r="105">
          <cell r="A105" t="str">
            <v>HS_104L</v>
          </cell>
          <cell r="I105">
            <v>-5.800000000000001</v>
          </cell>
          <cell r="J105">
            <v>1.6999999999999993</v>
          </cell>
        </row>
        <row r="106">
          <cell r="A106" t="str">
            <v>HS_105L</v>
          </cell>
          <cell r="I106">
            <v>-1.6000000000000014</v>
          </cell>
          <cell r="J106">
            <v>1.8000000000000007</v>
          </cell>
        </row>
        <row r="107">
          <cell r="A107" t="str">
            <v>HS_106R</v>
          </cell>
          <cell r="I107">
            <v>-4</v>
          </cell>
          <cell r="J107">
            <v>0</v>
          </cell>
        </row>
        <row r="108">
          <cell r="A108" t="str">
            <v>HS_107L</v>
          </cell>
          <cell r="I108">
            <v>-4</v>
          </cell>
          <cell r="J108">
            <v>2</v>
          </cell>
        </row>
        <row r="109">
          <cell r="A109" t="str">
            <v>HS_108R</v>
          </cell>
          <cell r="I109">
            <v>-1</v>
          </cell>
          <cell r="J109">
            <v>0.1999999999999993</v>
          </cell>
        </row>
        <row r="110">
          <cell r="A110" t="str">
            <v>HS_109L</v>
          </cell>
          <cell r="I110">
            <v>-1</v>
          </cell>
          <cell r="J110">
            <v>0.3999999999999986</v>
          </cell>
        </row>
        <row r="111">
          <cell r="A111" t="str">
            <v>HS_110R</v>
          </cell>
          <cell r="I111">
            <v>-3</v>
          </cell>
          <cell r="J111">
            <v>2.5</v>
          </cell>
        </row>
        <row r="112">
          <cell r="A112" t="str">
            <v>HS_111L</v>
          </cell>
          <cell r="I112">
            <v>-2.1000000000000014</v>
          </cell>
          <cell r="J112">
            <v>1</v>
          </cell>
        </row>
        <row r="113">
          <cell r="A113" t="str">
            <v>HS_112R</v>
          </cell>
          <cell r="I113">
            <v>-1</v>
          </cell>
          <cell r="J113">
            <v>2</v>
          </cell>
        </row>
        <row r="114">
          <cell r="A114" t="str">
            <v>HS_113R</v>
          </cell>
        </row>
        <row r="115">
          <cell r="A115" t="str">
            <v>HS_114L</v>
          </cell>
          <cell r="I115">
            <v>0</v>
          </cell>
          <cell r="J115">
            <v>1.3000000000000007</v>
          </cell>
        </row>
        <row r="116">
          <cell r="A116" t="str">
            <v>HS_115L</v>
          </cell>
          <cell r="I116">
            <v>0.5</v>
          </cell>
          <cell r="J116">
            <v>2.6999999999999993</v>
          </cell>
        </row>
        <row r="117">
          <cell r="A117" t="str">
            <v>HS_116R</v>
          </cell>
          <cell r="I117">
            <v>1</v>
          </cell>
          <cell r="J117">
            <v>0.5</v>
          </cell>
        </row>
        <row r="118">
          <cell r="A118" t="str">
            <v>HS_117L</v>
          </cell>
          <cell r="I118">
            <v>1</v>
          </cell>
          <cell r="J118">
            <v>1.6999999999999993</v>
          </cell>
        </row>
        <row r="119">
          <cell r="A119" t="str">
            <v>HS_118R</v>
          </cell>
          <cell r="I119">
            <v>-0.6999999999999993</v>
          </cell>
          <cell r="J119">
            <v>0.5</v>
          </cell>
        </row>
        <row r="120">
          <cell r="A120" t="str">
            <v>HS_119R</v>
          </cell>
          <cell r="I120">
            <v>-4.5</v>
          </cell>
          <cell r="J120">
            <v>1</v>
          </cell>
        </row>
        <row r="121">
          <cell r="A121" t="str">
            <v>HS_120L</v>
          </cell>
          <cell r="I121">
            <v>1.1999999999999993</v>
          </cell>
          <cell r="J121">
            <v>1.6000000000000014</v>
          </cell>
        </row>
        <row r="122">
          <cell r="A122" t="str">
            <v>HS_121R</v>
          </cell>
          <cell r="I122">
            <v>-1.8000000000000007</v>
          </cell>
          <cell r="J122">
            <v>-0.1999999999999993</v>
          </cell>
        </row>
        <row r="123">
          <cell r="A123" t="str">
            <v>HS_122R</v>
          </cell>
          <cell r="I123">
            <v>1</v>
          </cell>
          <cell r="J123">
            <v>0.5</v>
          </cell>
        </row>
        <row r="124">
          <cell r="A124" t="str">
            <v>HS_123L</v>
          </cell>
          <cell r="I124">
            <v>3.5</v>
          </cell>
          <cell r="J124">
            <v>-0.5</v>
          </cell>
        </row>
        <row r="125">
          <cell r="A125" t="str">
            <v>HS_124R</v>
          </cell>
          <cell r="I125">
            <v>0.3999999999999986</v>
          </cell>
          <cell r="J125">
            <v>-0.6999999999999993</v>
          </cell>
        </row>
        <row r="126">
          <cell r="A126" t="str">
            <v>HS_125R</v>
          </cell>
          <cell r="I126">
            <v>-1.6000000000000014</v>
          </cell>
          <cell r="J126">
            <v>1.6000000000000014</v>
          </cell>
        </row>
        <row r="127">
          <cell r="A127" t="str">
            <v>HS_126L</v>
          </cell>
          <cell r="I127">
            <v>0.6000000000000014</v>
          </cell>
          <cell r="J127">
            <v>2.6000000000000014</v>
          </cell>
        </row>
        <row r="128">
          <cell r="A128" t="str">
            <v>HS_127R</v>
          </cell>
        </row>
        <row r="129">
          <cell r="A129" t="str">
            <v>HS_128R</v>
          </cell>
          <cell r="I129">
            <v>-0.1999999999999993</v>
          </cell>
          <cell r="J129">
            <v>3.3999999999999986</v>
          </cell>
        </row>
        <row r="130">
          <cell r="A130" t="str">
            <v>HS_129L</v>
          </cell>
          <cell r="I130">
            <v>-0.10000000000000142</v>
          </cell>
          <cell r="J130">
            <v>2.8999999999999986</v>
          </cell>
        </row>
        <row r="131">
          <cell r="A131" t="str">
            <v>HS_130L</v>
          </cell>
          <cell r="I131">
            <v>1.6999999999999993</v>
          </cell>
          <cell r="J131">
            <v>8.600000000000001</v>
          </cell>
        </row>
        <row r="132">
          <cell r="A132" t="str">
            <v>HS_131L</v>
          </cell>
          <cell r="I132">
            <v>-0.5</v>
          </cell>
          <cell r="J132">
            <v>1.5</v>
          </cell>
        </row>
        <row r="133">
          <cell r="A133" t="str">
            <v>HS_132R</v>
          </cell>
          <cell r="I133">
            <v>-1.3000000000000007</v>
          </cell>
          <cell r="J133">
            <v>0.6000000000000014</v>
          </cell>
        </row>
        <row r="134">
          <cell r="A134" t="str">
            <v>HS_133L</v>
          </cell>
        </row>
        <row r="135">
          <cell r="A135" t="str">
            <v>HS_134R</v>
          </cell>
          <cell r="I135">
            <v>0.5</v>
          </cell>
          <cell r="J135">
            <v>1.5</v>
          </cell>
        </row>
        <row r="136">
          <cell r="A136" t="str">
            <v>HS_135L</v>
          </cell>
          <cell r="I136">
            <v>-4</v>
          </cell>
          <cell r="J136">
            <v>2.5</v>
          </cell>
        </row>
        <row r="137">
          <cell r="A137" t="str">
            <v>HS_136L</v>
          </cell>
          <cell r="I137">
            <v>0</v>
          </cell>
          <cell r="J137">
            <v>3</v>
          </cell>
        </row>
        <row r="138">
          <cell r="A138" t="str">
            <v>HS_137R</v>
          </cell>
          <cell r="I138">
            <v>-2.1999999999999993</v>
          </cell>
          <cell r="J138">
            <v>1.6000000000000014</v>
          </cell>
        </row>
        <row r="139">
          <cell r="A139" t="str">
            <v>HS_138R</v>
          </cell>
          <cell r="I139">
            <v>-2</v>
          </cell>
          <cell r="J139">
            <v>0.6000000000000014</v>
          </cell>
        </row>
        <row r="140">
          <cell r="A140" t="str">
            <v>HS_139L</v>
          </cell>
          <cell r="I140">
            <v>0</v>
          </cell>
          <cell r="J140">
            <v>0.6999999999999993</v>
          </cell>
        </row>
        <row r="141">
          <cell r="A141" t="str">
            <v>HS_140R</v>
          </cell>
          <cell r="I141">
            <v>-0.6000000000000014</v>
          </cell>
          <cell r="J141">
            <v>-0.3000000000000007</v>
          </cell>
        </row>
        <row r="142">
          <cell r="A142" t="str">
            <v>HS_141R</v>
          </cell>
        </row>
        <row r="143">
          <cell r="A143" t="str">
            <v>HS_142L</v>
          </cell>
          <cell r="I143">
            <v>-2.5</v>
          </cell>
          <cell r="J143">
            <v>0.6999999999999993</v>
          </cell>
        </row>
        <row r="144">
          <cell r="A144" t="str">
            <v>HS_143L</v>
          </cell>
          <cell r="I144">
            <v>-0.5</v>
          </cell>
          <cell r="J144">
            <v>1.6999999999999993</v>
          </cell>
        </row>
        <row r="145">
          <cell r="A145" t="str">
            <v>HS_144R</v>
          </cell>
          <cell r="I145">
            <v>0</v>
          </cell>
          <cell r="J145">
            <v>0</v>
          </cell>
        </row>
        <row r="146">
          <cell r="A146" t="str">
            <v>HS_145L</v>
          </cell>
          <cell r="I146">
            <v>1.8999999999999986</v>
          </cell>
          <cell r="J146">
            <v>0.5</v>
          </cell>
        </row>
        <row r="147">
          <cell r="A147" t="str">
            <v>HS_146R</v>
          </cell>
          <cell r="I147">
            <v>-0.6000000000000014</v>
          </cell>
          <cell r="J147">
            <v>0.6000000000000014</v>
          </cell>
        </row>
        <row r="148">
          <cell r="A148" t="str">
            <v>HS_147L</v>
          </cell>
          <cell r="I148">
            <v>-1.3999999999999986</v>
          </cell>
          <cell r="J148">
            <v>0.6000000000000014</v>
          </cell>
        </row>
        <row r="149">
          <cell r="A149" t="str">
            <v>HS_148R</v>
          </cell>
          <cell r="I149">
            <v>0.5</v>
          </cell>
          <cell r="J149">
            <v>0.8000000000000007</v>
          </cell>
        </row>
        <row r="150">
          <cell r="A150" t="str">
            <v>HS_149R</v>
          </cell>
          <cell r="I150">
            <v>2.5</v>
          </cell>
          <cell r="J150">
            <v>1.5</v>
          </cell>
        </row>
        <row r="151">
          <cell r="A151" t="str">
            <v>HS_150L</v>
          </cell>
          <cell r="I151">
            <v>-4.399999999999999</v>
          </cell>
          <cell r="J151">
            <v>2.6999999999999993</v>
          </cell>
        </row>
        <row r="152">
          <cell r="A152" t="str">
            <v>HS_151R</v>
          </cell>
          <cell r="I152">
            <v>-6.700000000000003</v>
          </cell>
          <cell r="J152">
            <v>3.1000000000000014</v>
          </cell>
        </row>
        <row r="153">
          <cell r="A153" t="str">
            <v>HS_152R</v>
          </cell>
          <cell r="I153">
            <v>0.1999999999999993</v>
          </cell>
          <cell r="J153">
            <v>0.10000000000000142</v>
          </cell>
        </row>
        <row r="154">
          <cell r="A154" t="str">
            <v>HS_153L</v>
          </cell>
          <cell r="I154">
            <v>2.5</v>
          </cell>
          <cell r="J154">
            <v>2.6000000000000014</v>
          </cell>
        </row>
        <row r="155">
          <cell r="A155" t="str">
            <v>HS_154R</v>
          </cell>
          <cell r="I155">
            <v>0.5</v>
          </cell>
          <cell r="J155">
            <v>0.6000000000000014</v>
          </cell>
        </row>
        <row r="156">
          <cell r="A156" t="str">
            <v>HS_155L</v>
          </cell>
          <cell r="I156">
            <v>-0.3000000000000007</v>
          </cell>
          <cell r="J156">
            <v>0.6000000000000014</v>
          </cell>
        </row>
        <row r="157">
          <cell r="A157" t="str">
            <v>HS_156L</v>
          </cell>
          <cell r="I157">
            <v>-5</v>
          </cell>
          <cell r="J157">
            <v>0.6999999999999993</v>
          </cell>
        </row>
        <row r="158">
          <cell r="A158" t="str">
            <v>HS_157R</v>
          </cell>
          <cell r="I158">
            <v>2.1000000000000014</v>
          </cell>
          <cell r="J158">
            <v>0.3999999999999986</v>
          </cell>
        </row>
        <row r="159">
          <cell r="A159" t="str">
            <v>HS_158L</v>
          </cell>
          <cell r="I159">
            <v>-0.5</v>
          </cell>
          <cell r="J159">
            <v>1.8999999999999986</v>
          </cell>
        </row>
        <row r="160">
          <cell r="A160" t="str">
            <v>HS_159R</v>
          </cell>
          <cell r="I160">
            <v>1.5</v>
          </cell>
          <cell r="J160">
            <v>0.6000000000000014</v>
          </cell>
        </row>
        <row r="161">
          <cell r="A161" t="str">
            <v>HS_160L</v>
          </cell>
          <cell r="I161">
            <v>2</v>
          </cell>
          <cell r="J161">
            <v>0</v>
          </cell>
        </row>
        <row r="162">
          <cell r="A162" t="str">
            <v>HS_161L</v>
          </cell>
          <cell r="I162">
            <v>0.6999999999999993</v>
          </cell>
          <cell r="J162">
            <v>0.8000000000000007</v>
          </cell>
        </row>
        <row r="163">
          <cell r="A163" t="str">
            <v>HS_162L</v>
          </cell>
          <cell r="I163">
            <v>0.3999999999999986</v>
          </cell>
          <cell r="J163">
            <v>0</v>
          </cell>
        </row>
        <row r="164">
          <cell r="A164" t="str">
            <v>HS_163L</v>
          </cell>
          <cell r="I164">
            <v>1.1999999999999993</v>
          </cell>
          <cell r="J16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DEC2HEX"/>
      <definedName name="HEX2DE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2"/>
  <sheetViews>
    <sheetView zoomScale="125" zoomScaleNormal="125" workbookViewId="0" topLeftCell="O1">
      <pane ySplit="2" topLeftCell="BM120" activePane="bottomLeft" state="frozen"/>
      <selection pane="topLeft" activeCell="A1" sqref="A1"/>
      <selection pane="bottomLeft" activeCell="AA74" sqref="AA74"/>
    </sheetView>
  </sheetViews>
  <sheetFormatPr defaultColWidth="9.140625" defaultRowHeight="12.75"/>
  <cols>
    <col min="1" max="1" width="6.421875" style="2" bestFit="1" customWidth="1"/>
    <col min="2" max="2" width="8.8515625" style="0" customWidth="1"/>
    <col min="3" max="3" width="6.00390625" style="2" customWidth="1"/>
    <col min="4" max="4" width="9.28125" style="1" customWidth="1"/>
    <col min="5" max="5" width="11.57421875" style="1" customWidth="1"/>
    <col min="6" max="6" width="13.00390625" style="1" customWidth="1"/>
    <col min="7" max="7" width="12.00390625" style="1" customWidth="1"/>
    <col min="8" max="8" width="11.00390625" style="1" customWidth="1"/>
    <col min="9" max="9" width="12.421875" style="1" customWidth="1"/>
    <col min="10" max="10" width="9.140625" style="16" bestFit="1" customWidth="1"/>
    <col min="11" max="11" width="8.421875" style="2" bestFit="1" customWidth="1"/>
    <col min="12" max="12" width="7.00390625" style="2" customWidth="1"/>
    <col min="13" max="16" width="11.28125" style="12" customWidth="1"/>
    <col min="17" max="17" width="9.00390625" style="1" bestFit="1" customWidth="1"/>
    <col min="18" max="18" width="8.421875" style="1" bestFit="1" customWidth="1"/>
    <col min="19" max="19" width="6.140625" style="1" customWidth="1"/>
    <col min="20" max="21" width="9.140625" style="2" customWidth="1"/>
    <col min="22" max="22" width="20.8515625" style="2" customWidth="1"/>
    <col min="23" max="23" width="6.00390625" style="4" bestFit="1" customWidth="1"/>
    <col min="24" max="24" width="10.140625" style="2" bestFit="1" customWidth="1"/>
    <col min="25" max="16384" width="9.140625" style="2" customWidth="1"/>
  </cols>
  <sheetData>
    <row r="1" spans="1:23" s="66" customFormat="1" ht="21" customHeight="1">
      <c r="A1" s="144" t="s">
        <v>52</v>
      </c>
      <c r="B1" s="144"/>
      <c r="C1" s="144"/>
      <c r="D1" s="134" t="s">
        <v>484</v>
      </c>
      <c r="E1" s="134" t="s">
        <v>476</v>
      </c>
      <c r="F1" s="134" t="s">
        <v>477</v>
      </c>
      <c r="G1" s="145" t="s">
        <v>489</v>
      </c>
      <c r="H1" s="143" t="s">
        <v>488</v>
      </c>
      <c r="I1" s="134" t="s">
        <v>478</v>
      </c>
      <c r="J1" s="135" t="s">
        <v>479</v>
      </c>
      <c r="K1" s="136" t="s">
        <v>480</v>
      </c>
      <c r="L1" s="136" t="s">
        <v>481</v>
      </c>
      <c r="M1" s="142" t="s">
        <v>482</v>
      </c>
      <c r="N1" s="136" t="s">
        <v>483</v>
      </c>
      <c r="O1" s="136" t="s">
        <v>485</v>
      </c>
      <c r="P1" s="136" t="s">
        <v>106</v>
      </c>
      <c r="Q1" s="134" t="s">
        <v>57</v>
      </c>
      <c r="R1" s="134" t="s">
        <v>58</v>
      </c>
      <c r="S1" s="134" t="s">
        <v>486</v>
      </c>
      <c r="T1" s="140" t="s">
        <v>54</v>
      </c>
      <c r="W1" s="141" t="s">
        <v>487</v>
      </c>
    </row>
    <row r="2" spans="1:23" s="66" customFormat="1" ht="24" customHeight="1">
      <c r="A2" s="66" t="s">
        <v>63</v>
      </c>
      <c r="B2" s="65" t="s">
        <v>60</v>
      </c>
      <c r="C2" s="65" t="s">
        <v>59</v>
      </c>
      <c r="D2" s="134"/>
      <c r="E2" s="134"/>
      <c r="F2" s="134"/>
      <c r="G2" s="145"/>
      <c r="H2" s="143"/>
      <c r="I2" s="134"/>
      <c r="J2" s="135"/>
      <c r="K2" s="136"/>
      <c r="L2" s="136"/>
      <c r="M2" s="142"/>
      <c r="N2" s="136"/>
      <c r="O2" s="136"/>
      <c r="P2" s="136"/>
      <c r="Q2" s="134"/>
      <c r="R2" s="134"/>
      <c r="S2" s="134"/>
      <c r="T2" s="140"/>
      <c r="W2" s="141"/>
    </row>
    <row r="3" spans="1:26" ht="12.75">
      <c r="A3" s="137">
        <v>0</v>
      </c>
      <c r="B3" s="138" t="s">
        <v>62</v>
      </c>
      <c r="C3" s="2" t="s">
        <v>64</v>
      </c>
      <c r="D3" s="3" t="s">
        <v>17</v>
      </c>
      <c r="E3" s="12">
        <f>(3500/(LN(F3/4700)+11.745))-273</f>
        <v>20.714873249932452</v>
      </c>
      <c r="F3" s="13">
        <f>(1.379*[2]!HEX2DEC(D3)+513)/J3</f>
        <v>5578.283341598798</v>
      </c>
      <c r="G3" s="126">
        <v>267</v>
      </c>
      <c r="H3" s="12">
        <v>28</v>
      </c>
      <c r="I3" s="13">
        <f>(1.379*[2]!HEX2DEC(G3)+513)/J3</f>
        <v>5539</v>
      </c>
      <c r="J3" s="16">
        <f>(1.379*[2]!HEX2DEC(G3)+513)/((H3*19.25)+5000)</f>
        <v>0.24572756815309624</v>
      </c>
      <c r="K3" s="14">
        <v>29.6</v>
      </c>
      <c r="L3" s="14">
        <f aca="true" t="shared" si="0" ref="L3:L34">H3-K3</f>
        <v>-1.6000000000000014</v>
      </c>
      <c r="M3" s="12">
        <f>(K3*3.85+1000)*5</f>
        <v>5569.8</v>
      </c>
      <c r="N3" s="12">
        <f aca="true" t="shared" si="1" ref="N3:N34">M3-I3</f>
        <v>30.800000000000182</v>
      </c>
      <c r="O3" s="12">
        <v>35</v>
      </c>
      <c r="P3" s="1" t="str">
        <f>[2]!DEC2HEX((J3*(5000+19.5*(O3+5))-513)/1.379)</f>
        <v>291</v>
      </c>
      <c r="Q3" s="1" t="str">
        <f>[2]!DEC2HEX((J3*(5000+19.5*(H3+5))-513)/1.379)</f>
        <v>279</v>
      </c>
      <c r="R3" s="1" t="str">
        <f>[2]!DEC2HEX((J3*(5000+19.5*(H3-5))-513)/1.379)</f>
        <v>256</v>
      </c>
      <c r="S3" s="12">
        <f aca="true" t="shared" si="2" ref="S3:S34">(I3-5000)/19.25</f>
        <v>28</v>
      </c>
      <c r="T3" s="17"/>
      <c r="W3" s="10">
        <v>4.2</v>
      </c>
      <c r="Y3" s="25">
        <f>[2]!HEX2DEC(P3)</f>
        <v>657</v>
      </c>
      <c r="Z3" s="18">
        <f>1.379*[2]!HEX2DEC(P3)+513</f>
        <v>1419.0030000000002</v>
      </c>
    </row>
    <row r="4" spans="1:26" ht="12.75">
      <c r="A4" s="137"/>
      <c r="B4" s="138"/>
      <c r="C4" s="2" t="s">
        <v>65</v>
      </c>
      <c r="D4" s="5" t="s">
        <v>14</v>
      </c>
      <c r="E4" s="12">
        <f>(3500/(LN(F4/4700)+11.745))-273</f>
        <v>19.364042580409773</v>
      </c>
      <c r="F4" s="13">
        <f>(1.379*[2]!HEX2DEC(D4)+513)/J4</f>
        <v>5894.023728821115</v>
      </c>
      <c r="G4" s="1" t="s">
        <v>20</v>
      </c>
      <c r="H4" s="12">
        <v>26.5</v>
      </c>
      <c r="I4" s="13">
        <f>(1.379*[2]!HEX2DEC(G4)+513)/J4</f>
        <v>5510.125</v>
      </c>
      <c r="J4" s="16">
        <f>(1.379*[2]!HEX2DEC(G4)+513)/((H4*19.25)+5000)</f>
        <v>0.2442623352464781</v>
      </c>
      <c r="K4" s="14">
        <v>27.7</v>
      </c>
      <c r="L4" s="14">
        <f t="shared" si="0"/>
        <v>-1.1999999999999993</v>
      </c>
      <c r="M4" s="12">
        <f aca="true" t="shared" si="3" ref="M4:M67">(K4*3.85+1000)*5</f>
        <v>5533.225</v>
      </c>
      <c r="N4" s="12">
        <f t="shared" si="1"/>
        <v>23.100000000000364</v>
      </c>
      <c r="O4" s="12">
        <v>35</v>
      </c>
      <c r="P4" s="1" t="str">
        <f>[2]!DEC2HEX((J4*(5000+19.5*(O4+5))-513)/1.379)</f>
        <v>28B</v>
      </c>
      <c r="Q4" s="1" t="str">
        <f>[2]!DEC2HEX((J4*(5000+19.5*(H4+5))-513)/1.379)</f>
        <v>26E</v>
      </c>
      <c r="R4" s="1" t="str">
        <f>[2]!DEC2HEX((J4*(5000+19.5*(H4-5))-513)/1.379)</f>
        <v>24B</v>
      </c>
      <c r="S4" s="12">
        <f t="shared" si="2"/>
        <v>26.5</v>
      </c>
      <c r="W4" s="10">
        <v>4.58</v>
      </c>
      <c r="Y4" s="25">
        <f>[2]!HEX2DEC(P4)</f>
        <v>651</v>
      </c>
      <c r="Z4" s="18">
        <f>1.379*[2]!HEX2DEC(P4)+513</f>
        <v>1410.729</v>
      </c>
    </row>
    <row r="5" spans="1:26" ht="12.75">
      <c r="A5" s="137"/>
      <c r="B5" s="138"/>
      <c r="C5" s="2" t="s">
        <v>66</v>
      </c>
      <c r="D5" s="5">
        <v>298</v>
      </c>
      <c r="E5" s="12">
        <f>(3500/(LN(F5/4700)+11.745))-273</f>
        <v>19.411134624960937</v>
      </c>
      <c r="F5" s="13">
        <f>(1.379*[2]!HEX2DEC(D5)+513)/J5</f>
        <v>5882.671241577646</v>
      </c>
      <c r="G5" s="1">
        <v>253</v>
      </c>
      <c r="H5" s="12">
        <v>25.5</v>
      </c>
      <c r="I5" s="13">
        <f>(1.379*[2]!HEX2DEC(G5)+513)/J5</f>
        <v>5490.875</v>
      </c>
      <c r="J5" s="16">
        <f>(1.379*[2]!HEX2DEC(G5)+513)/((H5*19.25)+5000)</f>
        <v>0.24285837867370869</v>
      </c>
      <c r="K5" s="14">
        <v>26.5</v>
      </c>
      <c r="L5" s="14">
        <f t="shared" si="0"/>
        <v>-1</v>
      </c>
      <c r="M5" s="12">
        <f t="shared" si="3"/>
        <v>5510.125</v>
      </c>
      <c r="N5" s="12">
        <f t="shared" si="1"/>
        <v>19.25</v>
      </c>
      <c r="O5" s="12">
        <v>35</v>
      </c>
      <c r="P5" s="1" t="str">
        <f>[2]!DEC2HEX((J5*(5000+19.5*(O5+5))-513)/1.379)</f>
        <v>285</v>
      </c>
      <c r="Q5" s="1" t="str">
        <f>[2]!DEC2HEX((J5*(5000+19.5*(H5+5))-513)/1.379)</f>
        <v>265</v>
      </c>
      <c r="R5" s="1" t="str">
        <f>[2]!DEC2HEX((J5*(5000+19.5*(H5-5))-513)/1.379)</f>
        <v>242</v>
      </c>
      <c r="S5" s="12">
        <f t="shared" si="2"/>
        <v>25.5</v>
      </c>
      <c r="W5" s="10">
        <v>3.63</v>
      </c>
      <c r="Y5" s="25">
        <f>[2]!HEX2DEC(P5)</f>
        <v>645</v>
      </c>
      <c r="Z5" s="18">
        <f>1.379*[2]!HEX2DEC(P5)+513</f>
        <v>1402.455</v>
      </c>
    </row>
    <row r="6" spans="1:26" ht="12.75">
      <c r="A6" s="137"/>
      <c r="B6" s="138"/>
      <c r="C6" s="2" t="s">
        <v>67</v>
      </c>
      <c r="D6" s="5">
        <v>285</v>
      </c>
      <c r="E6" s="12">
        <f>(3500/(LN(F6/4700)+11.745))-273</f>
        <v>20.348385643686072</v>
      </c>
      <c r="F6" s="13">
        <f>(1.379*[2]!HEX2DEC(D6)+513)/J6</f>
        <v>5661.950501077459</v>
      </c>
      <c r="G6" s="1">
        <v>268</v>
      </c>
      <c r="H6" s="12">
        <v>26</v>
      </c>
      <c r="I6" s="13">
        <f>(1.379*[2]!HEX2DEC(G6)+513)/J6</f>
        <v>5500.5</v>
      </c>
      <c r="J6" s="16">
        <f>(1.379*[2]!HEX2DEC(G6)+513)/((H6*19.25)+5000)</f>
        <v>0.2476982092537042</v>
      </c>
      <c r="K6" s="14">
        <v>27.8</v>
      </c>
      <c r="L6" s="14">
        <f t="shared" si="0"/>
        <v>-1.8000000000000007</v>
      </c>
      <c r="M6" s="12">
        <f t="shared" si="3"/>
        <v>5535.15</v>
      </c>
      <c r="N6" s="12">
        <f t="shared" si="1"/>
        <v>34.649999999999636</v>
      </c>
      <c r="O6" s="12">
        <v>35</v>
      </c>
      <c r="P6" s="1" t="str">
        <f>[2]!DEC2HEX((J6*(5000+19.5*(O6+5))-513)/1.379)</f>
        <v>29A</v>
      </c>
      <c r="Q6" s="1" t="str">
        <f>[2]!DEC2HEX((J6*(5000+19.5*(H6+5))-513)/1.379)</f>
        <v>27A</v>
      </c>
      <c r="R6" s="1" t="str">
        <f>[2]!DEC2HEX((J6*(5000+19.5*(H6-5))-513)/1.379)</f>
        <v>257</v>
      </c>
      <c r="S6" s="12">
        <f t="shared" si="2"/>
        <v>26</v>
      </c>
      <c r="W6" s="10">
        <v>4.8</v>
      </c>
      <c r="Y6" s="25">
        <f>[2]!HEX2DEC(P6)</f>
        <v>666</v>
      </c>
      <c r="Z6" s="18">
        <f>1.379*[2]!HEX2DEC(P6)+513</f>
        <v>1431.414</v>
      </c>
    </row>
    <row r="7" spans="1:26" ht="12.75">
      <c r="A7" s="137"/>
      <c r="B7" s="138"/>
      <c r="C7" s="2" t="s">
        <v>68</v>
      </c>
      <c r="D7" s="5" t="s">
        <v>18</v>
      </c>
      <c r="E7" s="12">
        <f>(3500/(LN(F7/4700)+11.745))-273</f>
        <v>20.297487694480537</v>
      </c>
      <c r="F7" s="13">
        <f>(1.379*[2]!HEX2DEC(D7)+513)/J7</f>
        <v>5673.6857426244505</v>
      </c>
      <c r="G7" s="7">
        <v>267</v>
      </c>
      <c r="H7" s="12">
        <v>28</v>
      </c>
      <c r="I7" s="13">
        <f>(1.379*[2]!HEX2DEC(G7)+513)/J7</f>
        <v>5539</v>
      </c>
      <c r="J7" s="16">
        <f>(1.379*[2]!HEX2DEC(G7)+513)/((H7*19.25)+5000)</f>
        <v>0.24572756815309624</v>
      </c>
      <c r="K7" s="14">
        <v>29.3</v>
      </c>
      <c r="L7" s="14">
        <f t="shared" si="0"/>
        <v>-1.3000000000000007</v>
      </c>
      <c r="M7" s="12">
        <f t="shared" si="3"/>
        <v>5564.025000000001</v>
      </c>
      <c r="N7" s="12">
        <f t="shared" si="1"/>
        <v>25.025000000000546</v>
      </c>
      <c r="O7" s="12">
        <v>35</v>
      </c>
      <c r="P7" s="1" t="str">
        <f>[2]!DEC2HEX((J7*(5000+19.5*(O7+5))-513)/1.379)</f>
        <v>291</v>
      </c>
      <c r="Q7" s="1" t="str">
        <f>[2]!DEC2HEX((J7*(5000+19.5*(H7+5))-513)/1.379)</f>
        <v>279</v>
      </c>
      <c r="R7" s="1" t="str">
        <f>[2]!DEC2HEX((J7*(5000+19.5*(H7-5))-513)/1.379)</f>
        <v>256</v>
      </c>
      <c r="S7" s="12">
        <f t="shared" si="2"/>
        <v>28</v>
      </c>
      <c r="W7" s="8">
        <v>4.3</v>
      </c>
      <c r="Y7" s="25">
        <f>[2]!HEX2DEC(P7)</f>
        <v>657</v>
      </c>
      <c r="Z7" s="18">
        <f>1.379*[2]!HEX2DEC(P7)+513</f>
        <v>1419.0030000000002</v>
      </c>
    </row>
    <row r="8" spans="1:26" ht="12.75">
      <c r="A8" s="137"/>
      <c r="B8" s="138"/>
      <c r="C8" s="2" t="s">
        <v>69</v>
      </c>
      <c r="D8" s="5" t="s">
        <v>19</v>
      </c>
      <c r="E8" s="12">
        <f aca="true" t="shared" si="4" ref="E8:E34">(3500/(LN(F8/4700)+11.745))-273</f>
        <v>20.03831293277699</v>
      </c>
      <c r="F8" s="13">
        <f>(1.379*[2]!HEX2DEC(D8)+513)/J8</f>
        <v>5733.884444522564</v>
      </c>
      <c r="G8" s="1">
        <v>265</v>
      </c>
      <c r="H8" s="12">
        <v>26.5</v>
      </c>
      <c r="I8" s="13">
        <f>(1.379*[2]!HEX2DEC(G8)+513)/J8</f>
        <v>5510.125</v>
      </c>
      <c r="J8" s="16">
        <f>(1.379*[2]!HEX2DEC(G8)+513)/((H8*19.25)+5000)</f>
        <v>0.2465147342392414</v>
      </c>
      <c r="K8" s="14">
        <v>27.8</v>
      </c>
      <c r="L8" s="14">
        <f t="shared" si="0"/>
        <v>-1.3000000000000007</v>
      </c>
      <c r="M8" s="12">
        <f t="shared" si="3"/>
        <v>5535.15</v>
      </c>
      <c r="N8" s="12">
        <f t="shared" si="1"/>
        <v>25.024999999999636</v>
      </c>
      <c r="O8" s="12">
        <v>35</v>
      </c>
      <c r="P8" s="1" t="str">
        <f>[2]!DEC2HEX((J8*(5000+19.5*(O8+5))-513)/1.379)</f>
        <v>295</v>
      </c>
      <c r="Q8" s="1" t="str">
        <f>[2]!DEC2HEX((J8*(5000+19.5*(H8+5))-513)/1.379)</f>
        <v>277</v>
      </c>
      <c r="R8" s="1" t="str">
        <f>[2]!DEC2HEX((J8*(5000+19.5*(H8-5))-513)/1.379)</f>
        <v>254</v>
      </c>
      <c r="S8" s="12">
        <f t="shared" si="2"/>
        <v>26.5</v>
      </c>
      <c r="W8" s="8">
        <v>4.69</v>
      </c>
      <c r="Y8" s="25">
        <f>[2]!HEX2DEC(P8)</f>
        <v>661</v>
      </c>
      <c r="Z8" s="18">
        <f>1.379*[2]!HEX2DEC(P8)+513</f>
        <v>1424.519</v>
      </c>
    </row>
    <row r="9" spans="1:26" s="25" customFormat="1" ht="12.75">
      <c r="A9" s="137"/>
      <c r="B9" s="139" t="s">
        <v>61</v>
      </c>
      <c r="C9" s="25" t="s">
        <v>64</v>
      </c>
      <c r="D9" s="26" t="s">
        <v>11</v>
      </c>
      <c r="E9" s="28">
        <f t="shared" si="4"/>
        <v>18.92862558935053</v>
      </c>
      <c r="F9" s="13">
        <f>(1.379*[2]!HEX2DEC(D9)+513)/J9</f>
        <v>6000.209837103953</v>
      </c>
      <c r="G9" s="27">
        <v>268</v>
      </c>
      <c r="H9" s="28">
        <v>27</v>
      </c>
      <c r="I9" s="13">
        <f>(1.379*[2]!HEX2DEC(G9)+513)/J9</f>
        <v>5519.75</v>
      </c>
      <c r="J9" s="16">
        <f>(1.379*[2]!HEX2DEC(G9)+513)/((H9*19.25)+5000)</f>
        <v>0.246834367498528</v>
      </c>
      <c r="K9" s="29">
        <v>29.2</v>
      </c>
      <c r="L9" s="29">
        <f t="shared" si="0"/>
        <v>-2.1999999999999993</v>
      </c>
      <c r="M9" s="28">
        <f t="shared" si="3"/>
        <v>5562.1</v>
      </c>
      <c r="N9" s="28">
        <f t="shared" si="1"/>
        <v>42.350000000000364</v>
      </c>
      <c r="O9" s="12">
        <v>35</v>
      </c>
      <c r="P9" s="1" t="str">
        <f>[2]!DEC2HEX((J9*(5000+19.5*(O9+5))-513)/1.379)</f>
        <v>296</v>
      </c>
      <c r="Q9" s="1" t="str">
        <f>[2]!DEC2HEX((J9*(5000+19.5*(H9+5))-513)/1.379)</f>
        <v>27A</v>
      </c>
      <c r="R9" s="1" t="str">
        <f>[2]!DEC2HEX((J9*(5000+19.5*(H9-5))-513)/1.379)</f>
        <v>257</v>
      </c>
      <c r="S9" s="28">
        <f t="shared" si="2"/>
        <v>27</v>
      </c>
      <c r="W9" s="30">
        <v>4.81</v>
      </c>
      <c r="Y9" s="25">
        <f>[2]!HEX2DEC(P9)</f>
        <v>662</v>
      </c>
      <c r="Z9" s="18">
        <f>1.379*[2]!HEX2DEC(P9)+513</f>
        <v>1425.8980000000001</v>
      </c>
    </row>
    <row r="10" spans="1:26" s="25" customFormat="1" ht="12.75">
      <c r="A10" s="137"/>
      <c r="B10" s="139"/>
      <c r="C10" s="25" t="s">
        <v>65</v>
      </c>
      <c r="D10" s="26" t="s">
        <v>12</v>
      </c>
      <c r="E10" s="28">
        <f t="shared" si="4"/>
        <v>18.470591723930966</v>
      </c>
      <c r="F10" s="13">
        <f>(1.379*[2]!HEX2DEC(D10)+513)/J10</f>
        <v>6114.328913963328</v>
      </c>
      <c r="G10" s="27">
        <v>262</v>
      </c>
      <c r="H10" s="28">
        <v>28</v>
      </c>
      <c r="I10" s="13">
        <f>(1.379*[2]!HEX2DEC(G10)+513)/J10</f>
        <v>5539</v>
      </c>
      <c r="J10" s="16">
        <f>(1.379*[2]!HEX2DEC(G10)+513)/((H10*19.25)+5000)</f>
        <v>0.24448275862068966</v>
      </c>
      <c r="K10" s="29">
        <v>27.9</v>
      </c>
      <c r="L10" s="29">
        <f t="shared" si="0"/>
        <v>0.10000000000000142</v>
      </c>
      <c r="M10" s="28">
        <f t="shared" si="3"/>
        <v>5537.075</v>
      </c>
      <c r="N10" s="28">
        <f t="shared" si="1"/>
        <v>-1.925000000000182</v>
      </c>
      <c r="O10" s="12">
        <v>35</v>
      </c>
      <c r="P10" s="1" t="str">
        <f>[2]!DEC2HEX((J10*(5000+19.5*(O10+5))-513)/1.379)</f>
        <v>28C</v>
      </c>
      <c r="Q10" s="1" t="str">
        <f>[2]!DEC2HEX((J10*(5000+19.5*(H10+5))-513)/1.379)</f>
        <v>274</v>
      </c>
      <c r="R10" s="1" t="str">
        <f>[2]!DEC2HEX((J10*(5000+19.5*(H10-5))-513)/1.379)</f>
        <v>251</v>
      </c>
      <c r="S10" s="28">
        <f t="shared" si="2"/>
        <v>28</v>
      </c>
      <c r="W10" s="30">
        <v>4.01</v>
      </c>
      <c r="Y10" s="25">
        <f>[2]!HEX2DEC(P10)</f>
        <v>652</v>
      </c>
      <c r="Z10" s="18">
        <f>1.379*[2]!HEX2DEC(P10)+513</f>
        <v>1412.108</v>
      </c>
    </row>
    <row r="11" spans="1:26" s="25" customFormat="1" ht="12.75" customHeight="1">
      <c r="A11" s="137"/>
      <c r="B11" s="139"/>
      <c r="C11" s="25" t="s">
        <v>66</v>
      </c>
      <c r="D11" s="26" t="s">
        <v>13</v>
      </c>
      <c r="E11" s="28">
        <f t="shared" si="4"/>
        <v>19.21863018797785</v>
      </c>
      <c r="F11" s="13">
        <f>(1.379*[2]!HEX2DEC(D11)+513)/J11</f>
        <v>5929.240027068097</v>
      </c>
      <c r="G11" s="27">
        <v>264</v>
      </c>
      <c r="H11" s="28">
        <v>27</v>
      </c>
      <c r="I11" s="13">
        <f>(1.379*[2]!HEX2DEC(G11)+513)/J11</f>
        <v>5519.75</v>
      </c>
      <c r="J11" s="16">
        <f>(1.379*[2]!HEX2DEC(G11)+513)/((H11*19.25)+5000)</f>
        <v>0.24583504687712304</v>
      </c>
      <c r="K11" s="29">
        <v>29.3</v>
      </c>
      <c r="L11" s="29">
        <f t="shared" si="0"/>
        <v>-2.3000000000000007</v>
      </c>
      <c r="M11" s="28">
        <f t="shared" si="3"/>
        <v>5564.025000000001</v>
      </c>
      <c r="N11" s="28">
        <f t="shared" si="1"/>
        <v>44.275000000000546</v>
      </c>
      <c r="O11" s="12">
        <v>35</v>
      </c>
      <c r="P11" s="1" t="str">
        <f>[2]!DEC2HEX((J11*(5000+19.5*(O11+5))-513)/1.379)</f>
        <v>292</v>
      </c>
      <c r="Q11" s="1" t="str">
        <f>[2]!DEC2HEX((J11*(5000+19.5*(H11+5))-513)/1.379)</f>
        <v>276</v>
      </c>
      <c r="R11" s="1" t="str">
        <f>[2]!DEC2HEX((J11*(5000+19.5*(H11-5))-513)/1.379)</f>
        <v>253</v>
      </c>
      <c r="S11" s="28">
        <f t="shared" si="2"/>
        <v>27</v>
      </c>
      <c r="W11" s="30">
        <v>5.32</v>
      </c>
      <c r="Y11" s="25">
        <f>[2]!HEX2DEC(P11)</f>
        <v>658</v>
      </c>
      <c r="Z11" s="18">
        <f>1.379*[2]!HEX2DEC(P11)+513</f>
        <v>1420.382</v>
      </c>
    </row>
    <row r="12" spans="1:26" s="18" customFormat="1" ht="12.75">
      <c r="A12" s="137"/>
      <c r="B12" s="139"/>
      <c r="C12" s="18" t="s">
        <v>67</v>
      </c>
      <c r="D12" s="19"/>
      <c r="E12" s="21"/>
      <c r="F12" s="13"/>
      <c r="G12" s="20"/>
      <c r="H12" s="21"/>
      <c r="I12" s="13"/>
      <c r="J12" s="16"/>
      <c r="K12" s="22"/>
      <c r="L12" s="22"/>
      <c r="M12" s="12"/>
      <c r="N12" s="12"/>
      <c r="O12" s="12"/>
      <c r="P12" s="1"/>
      <c r="Q12" s="1"/>
      <c r="R12" s="1"/>
      <c r="S12" s="21"/>
      <c r="W12" s="23"/>
      <c r="Y12" s="25"/>
      <c r="Z12" s="18">
        <f>1.379*[2]!HEX2DEC(P12)+513</f>
        <v>513</v>
      </c>
    </row>
    <row r="13" spans="1:26" s="25" customFormat="1" ht="12.75" customHeight="1">
      <c r="A13" s="137"/>
      <c r="B13" s="139"/>
      <c r="C13" s="25" t="s">
        <v>68</v>
      </c>
      <c r="D13" s="26" t="s">
        <v>14</v>
      </c>
      <c r="E13" s="28">
        <f t="shared" si="4"/>
        <v>19.355569633916446</v>
      </c>
      <c r="F13" s="13">
        <f>(1.379*[2]!HEX2DEC(D13)+513)/J13</f>
        <v>5896.069016486889</v>
      </c>
      <c r="G13" s="27" t="s">
        <v>16</v>
      </c>
      <c r="H13" s="31">
        <v>31</v>
      </c>
      <c r="I13" s="13">
        <f>(1.379*[2]!HEX2DEC(G13)+513)/J13</f>
        <v>5596.75</v>
      </c>
      <c r="J13" s="16">
        <f>(1.379*[2]!HEX2DEC(G13)+513)/((H13*19.25)+5000)</f>
        <v>0.24417760307321215</v>
      </c>
      <c r="K13" s="29">
        <v>29.55</v>
      </c>
      <c r="L13" s="29">
        <f t="shared" si="0"/>
        <v>1.4499999999999993</v>
      </c>
      <c r="M13" s="28">
        <f t="shared" si="3"/>
        <v>5568.8375</v>
      </c>
      <c r="N13" s="28">
        <f t="shared" si="1"/>
        <v>-27.912500000000364</v>
      </c>
      <c r="O13" s="12">
        <v>35</v>
      </c>
      <c r="P13" s="1" t="str">
        <f>[2]!DEC2HEX((J13*(5000+19.5*(O13+5))-513)/1.379)</f>
        <v>28B</v>
      </c>
      <c r="Q13" s="1" t="str">
        <f>[2]!DEC2HEX((J13*(5000+19.5*(H13+5))-513)/1.379)</f>
        <v>27D</v>
      </c>
      <c r="R13" s="1" t="str">
        <f>[2]!DEC2HEX((J13*(5000+19.5*(H13-5))-513)/1.379)</f>
        <v>25B</v>
      </c>
      <c r="S13" s="28">
        <f t="shared" si="2"/>
        <v>31</v>
      </c>
      <c r="W13" s="30">
        <v>4.4</v>
      </c>
      <c r="Y13" s="25">
        <f>[2]!HEX2DEC(P13)</f>
        <v>651</v>
      </c>
      <c r="Z13" s="18">
        <f>1.379*[2]!HEX2DEC(P13)+513</f>
        <v>1410.729</v>
      </c>
    </row>
    <row r="14" spans="1:26" ht="12.75">
      <c r="A14" s="137"/>
      <c r="B14" s="139"/>
      <c r="C14" s="2" t="s">
        <v>69</v>
      </c>
      <c r="D14" s="5" t="s">
        <v>15</v>
      </c>
      <c r="E14" s="12">
        <f t="shared" si="4"/>
        <v>19.231054472545395</v>
      </c>
      <c r="F14" s="13">
        <f>(1.379*[2]!HEX2DEC(D14)+513)/J14</f>
        <v>5926.221510045294</v>
      </c>
      <c r="G14" s="1">
        <v>267</v>
      </c>
      <c r="H14" s="12">
        <v>28</v>
      </c>
      <c r="I14" s="13">
        <f>(1.379*[2]!HEX2DEC(G14)+513)/J14</f>
        <v>5539</v>
      </c>
      <c r="J14" s="16">
        <f>(1.379*[2]!HEX2DEC(G14)+513)/((H14*19.25)+5000)</f>
        <v>0.24572756815309624</v>
      </c>
      <c r="K14" s="14">
        <v>28.55</v>
      </c>
      <c r="L14" s="14">
        <f t="shared" si="0"/>
        <v>-0.5500000000000007</v>
      </c>
      <c r="M14" s="12">
        <f t="shared" si="3"/>
        <v>5549.5875</v>
      </c>
      <c r="N14" s="12">
        <f t="shared" si="1"/>
        <v>10.587499999999636</v>
      </c>
      <c r="O14" s="12">
        <v>35</v>
      </c>
      <c r="P14" s="1" t="str">
        <f>[2]!DEC2HEX((J14*(5000+19.5*(O14+5))-513)/1.379)</f>
        <v>291</v>
      </c>
      <c r="Q14" s="1" t="str">
        <f>[2]!DEC2HEX((J14*(5000+19.5*(H14+5))-513)/1.379)</f>
        <v>279</v>
      </c>
      <c r="R14" s="1" t="str">
        <f>[2]!DEC2HEX((J14*(5000+19.5*(H14-5))-513)/1.379)</f>
        <v>256</v>
      </c>
      <c r="S14" s="12">
        <f t="shared" si="2"/>
        <v>28</v>
      </c>
      <c r="W14" s="8">
        <v>4.86</v>
      </c>
      <c r="Y14" s="25">
        <f>[2]!HEX2DEC(P14)</f>
        <v>657</v>
      </c>
      <c r="Z14" s="18">
        <f>1.379*[2]!HEX2DEC(P14)+513</f>
        <v>1419.0030000000002</v>
      </c>
    </row>
    <row r="15" spans="1:26" s="25" customFormat="1" ht="12.75">
      <c r="A15" s="137">
        <v>1</v>
      </c>
      <c r="B15" s="138" t="s">
        <v>62</v>
      </c>
      <c r="C15" s="25" t="s">
        <v>64</v>
      </c>
      <c r="D15" s="27">
        <v>269</v>
      </c>
      <c r="E15" s="28">
        <f t="shared" si="4"/>
        <v>20.839222180612865</v>
      </c>
      <c r="F15" s="13">
        <f>(1.379*[2]!HEX2DEC(D15)+513)/J15</f>
        <v>5550.22381188537</v>
      </c>
      <c r="G15" s="27">
        <v>267</v>
      </c>
      <c r="H15" s="28">
        <v>28</v>
      </c>
      <c r="I15" s="13">
        <f>(1.379*[2]!HEX2DEC(G15)+513)/J15</f>
        <v>5539</v>
      </c>
      <c r="J15" s="16">
        <f>(1.379*[2]!HEX2DEC(G15)+513)/((H15*19.25)+5000)</f>
        <v>0.24572756815309624</v>
      </c>
      <c r="K15" s="32">
        <v>32.7</v>
      </c>
      <c r="L15" s="29">
        <f t="shared" si="0"/>
        <v>-4.700000000000003</v>
      </c>
      <c r="M15" s="28">
        <f t="shared" si="3"/>
        <v>5629.475</v>
      </c>
      <c r="N15" s="28">
        <f t="shared" si="1"/>
        <v>90.47500000000036</v>
      </c>
      <c r="O15" s="12">
        <v>35</v>
      </c>
      <c r="P15" s="1" t="str">
        <f>[2]!DEC2HEX((J15*(5000+19.5*(O15+5))-513)/1.379)</f>
        <v>291</v>
      </c>
      <c r="Q15" s="1" t="str">
        <f>[2]!DEC2HEX((J15*(5000+19.5*(H15+5))-513)/1.379)</f>
        <v>279</v>
      </c>
      <c r="R15" s="1" t="str">
        <f>[2]!DEC2HEX((J15*(5000+19.5*(H15-5))-513)/1.379)</f>
        <v>256</v>
      </c>
      <c r="S15" s="28">
        <f t="shared" si="2"/>
        <v>28</v>
      </c>
      <c r="W15" s="30">
        <v>5.19</v>
      </c>
      <c r="Y15" s="25">
        <f>[2]!HEX2DEC(P15)</f>
        <v>657</v>
      </c>
      <c r="Z15" s="18">
        <f>1.379*[2]!HEX2DEC(P15)+513</f>
        <v>1419.0030000000002</v>
      </c>
    </row>
    <row r="16" spans="1:26" s="25" customFormat="1" ht="12.75">
      <c r="A16" s="137"/>
      <c r="B16" s="138"/>
      <c r="C16" s="25" t="s">
        <v>65</v>
      </c>
      <c r="D16" s="27">
        <v>290</v>
      </c>
      <c r="E16" s="28">
        <f t="shared" si="4"/>
        <v>19.68397170456302</v>
      </c>
      <c r="F16" s="13">
        <f>(1.379*[2]!HEX2DEC(D16)+513)/J16</f>
        <v>5817.398397493285</v>
      </c>
      <c r="G16" s="27">
        <v>258</v>
      </c>
      <c r="H16" s="28">
        <v>26</v>
      </c>
      <c r="I16" s="13">
        <f>(1.379*[2]!HEX2DEC(G16)+513)/J16</f>
        <v>5500.5</v>
      </c>
      <c r="J16" s="16">
        <f>(1.379*[2]!HEX2DEC(G16)+513)/((H16*19.25)+5000)</f>
        <v>0.24368693755113174</v>
      </c>
      <c r="K16" s="32">
        <v>31.8</v>
      </c>
      <c r="L16" s="29">
        <f t="shared" si="0"/>
        <v>-5.800000000000001</v>
      </c>
      <c r="M16" s="28">
        <f t="shared" si="3"/>
        <v>5612.150000000001</v>
      </c>
      <c r="N16" s="28">
        <f t="shared" si="1"/>
        <v>111.65000000000055</v>
      </c>
      <c r="O16" s="12">
        <v>35</v>
      </c>
      <c r="P16" s="1" t="str">
        <f>[2]!DEC2HEX((J16*(5000+19.5*(O16+5))-513)/1.379)</f>
        <v>289</v>
      </c>
      <c r="Q16" s="1" t="str">
        <f>[2]!DEC2HEX((J16*(5000+19.5*(H16+5))-513)/1.379)</f>
        <v>26A</v>
      </c>
      <c r="R16" s="1" t="str">
        <f>[2]!DEC2HEX((J16*(5000+19.5*(H16-5))-513)/1.379)</f>
        <v>247</v>
      </c>
      <c r="S16" s="28">
        <f t="shared" si="2"/>
        <v>26</v>
      </c>
      <c r="W16" s="30">
        <v>5.22</v>
      </c>
      <c r="Y16" s="25">
        <f>[2]!HEX2DEC(P16)</f>
        <v>649</v>
      </c>
      <c r="Z16" s="18">
        <f>1.379*[2]!HEX2DEC(P16)+513</f>
        <v>1407.971</v>
      </c>
    </row>
    <row r="17" spans="1:26" ht="12.75">
      <c r="A17" s="137"/>
      <c r="B17" s="138"/>
      <c r="C17" s="2" t="s">
        <v>66</v>
      </c>
      <c r="D17" s="1" t="s">
        <v>71</v>
      </c>
      <c r="E17" s="12">
        <f t="shared" si="4"/>
        <v>19.11694566433738</v>
      </c>
      <c r="F17" s="13">
        <f>(1.379*[2]!HEX2DEC(D17)+513)/J17</f>
        <v>5954.0121336119855</v>
      </c>
      <c r="G17" s="1">
        <v>252</v>
      </c>
      <c r="H17" s="12">
        <v>27</v>
      </c>
      <c r="I17" s="13">
        <f>(1.379*[2]!HEX2DEC(G17)+513)/J17</f>
        <v>5519.75</v>
      </c>
      <c r="J17" s="16">
        <f>(1.379*[2]!HEX2DEC(G17)+513)/((H17*19.25)+5000)</f>
        <v>0.24133810408080075</v>
      </c>
      <c r="K17" s="15">
        <v>28.9</v>
      </c>
      <c r="L17" s="14">
        <f t="shared" si="0"/>
        <v>-1.8999999999999986</v>
      </c>
      <c r="M17" s="12">
        <f t="shared" si="3"/>
        <v>5556.325000000001</v>
      </c>
      <c r="N17" s="12">
        <f t="shared" si="1"/>
        <v>36.57500000000073</v>
      </c>
      <c r="O17" s="12">
        <v>35</v>
      </c>
      <c r="P17" s="1" t="str">
        <f>[2]!DEC2HEX((J17*(5000+19.5*(O17+5))-513)/1.379)</f>
        <v>27F</v>
      </c>
      <c r="Q17" s="1" t="str">
        <f>[2]!DEC2HEX((J17*(5000+19.5*(H17+5))-513)/1.379)</f>
        <v>264</v>
      </c>
      <c r="R17" s="1" t="str">
        <f>[2]!DEC2HEX((J17*(5000+19.5*(H17-5))-513)/1.379)</f>
        <v>242</v>
      </c>
      <c r="S17" s="12">
        <f t="shared" si="2"/>
        <v>27</v>
      </c>
      <c r="W17" s="8">
        <v>5.23</v>
      </c>
      <c r="Y17" s="25">
        <f>[2]!HEX2DEC(P17)</f>
        <v>639</v>
      </c>
      <c r="Z17" s="18">
        <f>1.379*[2]!HEX2DEC(P17)+513</f>
        <v>1394.181</v>
      </c>
    </row>
    <row r="18" spans="1:26" s="25" customFormat="1" ht="12.75">
      <c r="A18" s="137"/>
      <c r="B18" s="138"/>
      <c r="C18" s="25" t="s">
        <v>67</v>
      </c>
      <c r="D18" s="27" t="s">
        <v>72</v>
      </c>
      <c r="E18" s="28">
        <f t="shared" si="4"/>
        <v>19.386063257844</v>
      </c>
      <c r="F18" s="13">
        <f>(1.379*[2]!HEX2DEC(D18)+513)/J18</f>
        <v>5888.712020654413</v>
      </c>
      <c r="G18" s="27">
        <v>262</v>
      </c>
      <c r="H18" s="28">
        <v>25</v>
      </c>
      <c r="I18" s="13">
        <f>(1.379*[2]!HEX2DEC(G18)+513)/J18</f>
        <v>5481.25</v>
      </c>
      <c r="J18" s="16">
        <f>(1.379*[2]!HEX2DEC(G18)+513)/((H18*19.25)+5000)</f>
        <v>0.24705860889395667</v>
      </c>
      <c r="K18" s="32">
        <v>28.8</v>
      </c>
      <c r="L18" s="29">
        <f t="shared" si="0"/>
        <v>-3.8000000000000007</v>
      </c>
      <c r="M18" s="28">
        <f t="shared" si="3"/>
        <v>5554.400000000001</v>
      </c>
      <c r="N18" s="28">
        <f t="shared" si="1"/>
        <v>73.15000000000055</v>
      </c>
      <c r="O18" s="12">
        <v>35</v>
      </c>
      <c r="P18" s="1" t="str">
        <f>[2]!DEC2HEX((J18*(5000+19.5*(O18+5))-513)/1.379)</f>
        <v>297</v>
      </c>
      <c r="Q18" s="1" t="str">
        <f>[2]!DEC2HEX((J18*(5000+19.5*(H18+5))-513)/1.379)</f>
        <v>274</v>
      </c>
      <c r="R18" s="1" t="str">
        <f>[2]!DEC2HEX((J18*(5000+19.5*(H18-5))-513)/1.379)</f>
        <v>251</v>
      </c>
      <c r="S18" s="28">
        <f t="shared" si="2"/>
        <v>25</v>
      </c>
      <c r="W18" s="30">
        <v>5.34</v>
      </c>
      <c r="Y18" s="25">
        <f>[2]!HEX2DEC(P18)</f>
        <v>663</v>
      </c>
      <c r="Z18" s="18">
        <f>1.379*[2]!HEX2DEC(P18)+513</f>
        <v>1427.277</v>
      </c>
    </row>
    <row r="19" spans="1:26" ht="12.75">
      <c r="A19" s="137"/>
      <c r="B19" s="138"/>
      <c r="C19" s="2" t="s">
        <v>68</v>
      </c>
      <c r="D19" s="1">
        <v>291</v>
      </c>
      <c r="E19" s="12">
        <f t="shared" si="4"/>
        <v>19.814690895927185</v>
      </c>
      <c r="F19" s="13">
        <f>(1.379*[2]!HEX2DEC(D19)+513)/J19</f>
        <v>5786.42522529553</v>
      </c>
      <c r="G19" s="1">
        <v>265</v>
      </c>
      <c r="H19" s="12">
        <v>28</v>
      </c>
      <c r="I19" s="13">
        <f>(1.379*[2]!HEX2DEC(G19)+513)/J19</f>
        <v>5539</v>
      </c>
      <c r="J19" s="16">
        <f>(1.379*[2]!HEX2DEC(G19)+513)/((H19*19.25)+5000)</f>
        <v>0.24522964434013358</v>
      </c>
      <c r="K19" s="15">
        <v>31.6</v>
      </c>
      <c r="L19" s="14">
        <f t="shared" si="0"/>
        <v>-3.6000000000000014</v>
      </c>
      <c r="M19" s="12">
        <f t="shared" si="3"/>
        <v>5608.3</v>
      </c>
      <c r="N19" s="12">
        <f t="shared" si="1"/>
        <v>69.30000000000018</v>
      </c>
      <c r="O19" s="12">
        <v>35</v>
      </c>
      <c r="P19" s="1" t="str">
        <f>[2]!DEC2HEX((J19*(5000+19.5*(O19+5))-513)/1.379)</f>
        <v>28F</v>
      </c>
      <c r="Q19" s="1" t="str">
        <f>[2]!DEC2HEX((J19*(5000+19.5*(H19+5))-513)/1.379)</f>
        <v>277</v>
      </c>
      <c r="R19" s="1" t="str">
        <f>[2]!DEC2HEX((J19*(5000+19.5*(H19-5))-513)/1.379)</f>
        <v>254</v>
      </c>
      <c r="S19" s="12">
        <f t="shared" si="2"/>
        <v>28</v>
      </c>
      <c r="W19" s="8">
        <v>5.38</v>
      </c>
      <c r="Y19" s="25">
        <f>[2]!HEX2DEC(P19)</f>
        <v>655</v>
      </c>
      <c r="Z19" s="18">
        <f>1.379*[2]!HEX2DEC(P19)+513</f>
        <v>1416.245</v>
      </c>
    </row>
    <row r="20" spans="1:26" ht="12.75">
      <c r="A20" s="137"/>
      <c r="B20" s="138"/>
      <c r="C20" s="2" t="s">
        <v>69</v>
      </c>
      <c r="D20" s="1">
        <v>292</v>
      </c>
      <c r="E20" s="12">
        <f t="shared" si="4"/>
        <v>19.766021140702605</v>
      </c>
      <c r="F20" s="13">
        <f>(1.379*[2]!HEX2DEC(D20)+513)/J20</f>
        <v>5797.934701993003</v>
      </c>
      <c r="G20" s="1">
        <v>264</v>
      </c>
      <c r="H20" s="12">
        <v>28</v>
      </c>
      <c r="I20" s="13">
        <f>(1.379*[2]!HEX2DEC(G20)+513)/J20</f>
        <v>5539</v>
      </c>
      <c r="J20" s="16">
        <f>(1.379*[2]!HEX2DEC(G20)+513)/((H20*19.25)+5000)</f>
        <v>0.24498068243365226</v>
      </c>
      <c r="K20" s="15">
        <v>30.7</v>
      </c>
      <c r="L20" s="14">
        <f t="shared" si="0"/>
        <v>-2.6999999999999993</v>
      </c>
      <c r="M20" s="12">
        <f t="shared" si="3"/>
        <v>5590.974999999999</v>
      </c>
      <c r="N20" s="12">
        <f t="shared" si="1"/>
        <v>51.974999999999454</v>
      </c>
      <c r="O20" s="12">
        <v>35</v>
      </c>
      <c r="P20" s="1" t="str">
        <f>[2]!DEC2HEX((J20*(5000+19.5*(O20+5))-513)/1.379)</f>
        <v>28E</v>
      </c>
      <c r="Q20" s="1" t="str">
        <f>[2]!DEC2HEX((J20*(5000+19.5*(H20+5))-513)/1.379)</f>
        <v>276</v>
      </c>
      <c r="R20" s="1" t="str">
        <f>[2]!DEC2HEX((J20*(5000+19.5*(H20-5))-513)/1.379)</f>
        <v>253</v>
      </c>
      <c r="S20" s="12">
        <f t="shared" si="2"/>
        <v>28</v>
      </c>
      <c r="W20" s="8">
        <v>5.18</v>
      </c>
      <c r="Y20" s="25">
        <f>[2]!HEX2DEC(P20)</f>
        <v>654</v>
      </c>
      <c r="Z20" s="18">
        <f>1.379*[2]!HEX2DEC(P20)+513</f>
        <v>1414.866</v>
      </c>
    </row>
    <row r="21" spans="1:26" ht="12.75">
      <c r="A21" s="137"/>
      <c r="B21" s="139" t="s">
        <v>61</v>
      </c>
      <c r="C21" s="2" t="s">
        <v>64</v>
      </c>
      <c r="D21" s="1" t="s">
        <v>70</v>
      </c>
      <c r="E21" s="12">
        <f t="shared" si="4"/>
        <v>18.45756034440467</v>
      </c>
      <c r="F21" s="13">
        <f>(1.379*[2]!HEX2DEC(D21)+513)/J21</f>
        <v>6117.612540505079</v>
      </c>
      <c r="G21" s="1">
        <v>266</v>
      </c>
      <c r="H21" s="12">
        <v>28</v>
      </c>
      <c r="I21" s="13">
        <f>(1.379*[2]!HEX2DEC(G21)+513)/J21</f>
        <v>5539</v>
      </c>
      <c r="J21" s="16">
        <f>(1.379*[2]!HEX2DEC(G21)+513)/((H21*19.25)+5000)</f>
        <v>0.24547860624661494</v>
      </c>
      <c r="K21" s="14">
        <v>32.6</v>
      </c>
      <c r="L21" s="14">
        <f t="shared" si="0"/>
        <v>-4.600000000000001</v>
      </c>
      <c r="M21" s="12">
        <f t="shared" si="3"/>
        <v>5627.55</v>
      </c>
      <c r="N21" s="12">
        <f t="shared" si="1"/>
        <v>88.55000000000018</v>
      </c>
      <c r="O21" s="12">
        <v>35</v>
      </c>
      <c r="P21" s="1" t="str">
        <f>[2]!DEC2HEX((J21*(5000+19.5*(O21+5))-513)/1.379)</f>
        <v>290</v>
      </c>
      <c r="Q21" s="1" t="str">
        <f>[2]!DEC2HEX((J21*(5000+19.5*(H21+5))-513)/1.379)</f>
        <v>278</v>
      </c>
      <c r="R21" s="1" t="str">
        <f>[2]!DEC2HEX((J21*(5000+19.5*(H21-5))-513)/1.379)</f>
        <v>255</v>
      </c>
      <c r="S21" s="12">
        <f t="shared" si="2"/>
        <v>28</v>
      </c>
      <c r="W21" s="8">
        <v>4.88</v>
      </c>
      <c r="Y21" s="25">
        <f>[2]!HEX2DEC(P21)</f>
        <v>656</v>
      </c>
      <c r="Z21" s="18">
        <f>1.379*[2]!HEX2DEC(P21)+513</f>
        <v>1417.624</v>
      </c>
    </row>
    <row r="22" spans="1:26" ht="12.75">
      <c r="A22" s="137"/>
      <c r="B22" s="139"/>
      <c r="C22" s="2" t="s">
        <v>65</v>
      </c>
      <c r="D22" s="1" t="s">
        <v>11</v>
      </c>
      <c r="E22" s="12">
        <f t="shared" si="4"/>
        <v>18.660847090878462</v>
      </c>
      <c r="F22" s="13">
        <f>(1.379*[2]!HEX2DEC(D22)+513)/J22</f>
        <v>6066.622028626006</v>
      </c>
      <c r="G22" s="1">
        <v>264</v>
      </c>
      <c r="H22" s="12">
        <v>29</v>
      </c>
      <c r="I22" s="13">
        <f>(1.379*[2]!HEX2DEC(G22)+513)/J22</f>
        <v>5558.25</v>
      </c>
      <c r="J22" s="16">
        <f>(1.379*[2]!HEX2DEC(G22)+513)/((H22*19.25)+5000)</f>
        <v>0.24413223586560515</v>
      </c>
      <c r="K22" s="14">
        <v>31.7</v>
      </c>
      <c r="L22" s="14">
        <f t="shared" si="0"/>
        <v>-2.6999999999999993</v>
      </c>
      <c r="M22" s="12">
        <f t="shared" si="3"/>
        <v>5610.225</v>
      </c>
      <c r="N22" s="12">
        <f t="shared" si="1"/>
        <v>51.975000000000364</v>
      </c>
      <c r="O22" s="12">
        <v>35</v>
      </c>
      <c r="P22" s="1" t="str">
        <f>[2]!DEC2HEX((J22*(5000+19.5*(O22+5))-513)/1.379)</f>
        <v>28B</v>
      </c>
      <c r="Q22" s="1" t="str">
        <f>[2]!DEC2HEX((J22*(5000+19.5*(H22+5))-513)/1.379)</f>
        <v>276</v>
      </c>
      <c r="R22" s="1" t="str">
        <f>[2]!DEC2HEX((J22*(5000+19.5*(H22-5))-513)/1.379)</f>
        <v>254</v>
      </c>
      <c r="S22" s="12">
        <f t="shared" si="2"/>
        <v>29</v>
      </c>
      <c r="W22" s="8">
        <v>5.03</v>
      </c>
      <c r="Y22" s="25">
        <f>[2]!HEX2DEC(P22)</f>
        <v>651</v>
      </c>
      <c r="Z22" s="18">
        <f>1.379*[2]!HEX2DEC(P22)+513</f>
        <v>1410.729</v>
      </c>
    </row>
    <row r="23" spans="1:26" ht="12.75">
      <c r="A23" s="137"/>
      <c r="B23" s="139"/>
      <c r="C23" s="2" t="s">
        <v>66</v>
      </c>
      <c r="D23" s="1" t="s">
        <v>28</v>
      </c>
      <c r="E23" s="12">
        <f t="shared" si="4"/>
        <v>19.65989417897225</v>
      </c>
      <c r="F23" s="13">
        <f>(1.379*[2]!HEX2DEC(D23)+513)/J23</f>
        <v>5823.124514337787</v>
      </c>
      <c r="G23" s="1" t="s">
        <v>27</v>
      </c>
      <c r="H23" s="12">
        <v>25</v>
      </c>
      <c r="I23" s="13">
        <f>(1.379*[2]!HEX2DEC(G23)+513)/J23</f>
        <v>5481.25</v>
      </c>
      <c r="J23" s="16">
        <f>(1.379*[2]!HEX2DEC(G23)+513)/((H23*19.25)+5000)</f>
        <v>0.24605226909920183</v>
      </c>
      <c r="K23" s="14">
        <v>29.6</v>
      </c>
      <c r="L23" s="14">
        <f t="shared" si="0"/>
        <v>-4.600000000000001</v>
      </c>
      <c r="M23" s="12">
        <f t="shared" si="3"/>
        <v>5569.8</v>
      </c>
      <c r="N23" s="12">
        <f t="shared" si="1"/>
        <v>88.55000000000018</v>
      </c>
      <c r="O23" s="12">
        <v>35</v>
      </c>
      <c r="P23" s="1" t="str">
        <f>[2]!DEC2HEX((J23*(5000+19.5*(O23+5))-513)/1.379)</f>
        <v>293</v>
      </c>
      <c r="Q23" s="1" t="str">
        <f>[2]!DEC2HEX((J23*(5000+19.5*(H23+5))-513)/1.379)</f>
        <v>270</v>
      </c>
      <c r="R23" s="1" t="str">
        <f>[2]!DEC2HEX((J23*(5000+19.5*(H23-5))-513)/1.379)</f>
        <v>24D</v>
      </c>
      <c r="S23" s="12">
        <f t="shared" si="2"/>
        <v>25</v>
      </c>
      <c r="W23" s="8">
        <v>5.39</v>
      </c>
      <c r="Y23" s="25">
        <f>[2]!HEX2DEC(P23)</f>
        <v>659</v>
      </c>
      <c r="Z23" s="18">
        <f>1.379*[2]!HEX2DEC(P23)+513</f>
        <v>1421.761</v>
      </c>
    </row>
    <row r="24" spans="1:26" ht="12.75">
      <c r="A24" s="137"/>
      <c r="B24" s="139"/>
      <c r="C24" s="2" t="s">
        <v>67</v>
      </c>
      <c r="D24" s="1">
        <v>277</v>
      </c>
      <c r="E24" s="12">
        <f t="shared" si="4"/>
        <v>20.32802857020505</v>
      </c>
      <c r="F24" s="13">
        <f>(1.379*[2]!HEX2DEC(D24)+513)/J24</f>
        <v>5666.640708048348</v>
      </c>
      <c r="G24" s="1" t="s">
        <v>4</v>
      </c>
      <c r="H24" s="12">
        <v>27</v>
      </c>
      <c r="I24" s="13">
        <f>(1.379*[2]!HEX2DEC(G24)+513)/J24</f>
        <v>5519.75</v>
      </c>
      <c r="J24" s="16">
        <f>(1.379*[2]!HEX2DEC(G24)+513)/((H24*19.25)+5000)</f>
        <v>0.2440862357896644</v>
      </c>
      <c r="K24" s="15">
        <v>30.8</v>
      </c>
      <c r="L24" s="14">
        <f t="shared" si="0"/>
        <v>-3.8000000000000007</v>
      </c>
      <c r="M24" s="12">
        <f t="shared" si="3"/>
        <v>5592.9</v>
      </c>
      <c r="N24" s="12">
        <f t="shared" si="1"/>
        <v>73.14999999999964</v>
      </c>
      <c r="O24" s="12">
        <v>35</v>
      </c>
      <c r="P24" s="1" t="str">
        <f>[2]!DEC2HEX((J24*(5000+19.5*(O24+5))-513)/1.379)</f>
        <v>28B</v>
      </c>
      <c r="Q24" s="1" t="str">
        <f>[2]!DEC2HEX((J24*(5000+19.5*(H24+5))-513)/1.379)</f>
        <v>26F</v>
      </c>
      <c r="R24" s="1" t="str">
        <f>[2]!DEC2HEX((J24*(5000+19.5*(H24-5))-513)/1.379)</f>
        <v>24C</v>
      </c>
      <c r="S24" s="12">
        <f t="shared" si="2"/>
        <v>27</v>
      </c>
      <c r="W24" s="8">
        <v>5.34</v>
      </c>
      <c r="Y24" s="25">
        <f>[2]!HEX2DEC(P24)</f>
        <v>651</v>
      </c>
      <c r="Z24" s="18">
        <f>1.379*[2]!HEX2DEC(P24)+513</f>
        <v>1410.729</v>
      </c>
    </row>
    <row r="25" spans="1:26" ht="12.75">
      <c r="A25" s="137"/>
      <c r="B25" s="139"/>
      <c r="C25" s="2" t="s">
        <v>68</v>
      </c>
      <c r="D25" s="1" t="s">
        <v>0</v>
      </c>
      <c r="E25" s="12">
        <f t="shared" si="4"/>
        <v>19.354961336855865</v>
      </c>
      <c r="F25" s="13">
        <f>(1.379*[2]!HEX2DEC(D25)+513)/J25</f>
        <v>5896.215885402887</v>
      </c>
      <c r="G25" s="1">
        <v>259</v>
      </c>
      <c r="H25" s="12">
        <v>26</v>
      </c>
      <c r="I25" s="13">
        <f>(1.379*[2]!HEX2DEC(G25)+513)/J25</f>
        <v>5500.5</v>
      </c>
      <c r="J25" s="16">
        <f>(1.379*[2]!HEX2DEC(G25)+513)/((H25*19.25)+5000)</f>
        <v>0.2439376420325425</v>
      </c>
      <c r="K25" s="15">
        <v>31.4</v>
      </c>
      <c r="L25" s="14">
        <f t="shared" si="0"/>
        <v>-5.399999999999999</v>
      </c>
      <c r="M25" s="12">
        <f t="shared" si="3"/>
        <v>5604.450000000001</v>
      </c>
      <c r="N25" s="12">
        <f t="shared" si="1"/>
        <v>103.95000000000073</v>
      </c>
      <c r="O25" s="12">
        <v>35</v>
      </c>
      <c r="P25" s="1" t="str">
        <f>[2]!DEC2HEX((J25*(5000+19.5*(O25+5))-513)/1.379)</f>
        <v>28A</v>
      </c>
      <c r="Q25" s="1" t="str">
        <f>[2]!DEC2HEX((J25*(5000+19.5*(H25+5))-513)/1.379)</f>
        <v>26B</v>
      </c>
      <c r="R25" s="1" t="str">
        <f>[2]!DEC2HEX((J25*(5000+19.5*(H25-5))-513)/1.379)</f>
        <v>248</v>
      </c>
      <c r="S25" s="12">
        <f t="shared" si="2"/>
        <v>26</v>
      </c>
      <c r="W25" s="8">
        <v>5.42</v>
      </c>
      <c r="Y25" s="25">
        <f>[2]!HEX2DEC(P25)</f>
        <v>650</v>
      </c>
      <c r="Z25" s="18">
        <f>1.379*[2]!HEX2DEC(P25)+513</f>
        <v>1409.35</v>
      </c>
    </row>
    <row r="26" spans="1:26" ht="12.75">
      <c r="A26" s="137"/>
      <c r="B26" s="139"/>
      <c r="C26" s="2" t="s">
        <v>69</v>
      </c>
      <c r="D26" s="1" t="s">
        <v>15</v>
      </c>
      <c r="E26" s="12">
        <f t="shared" si="4"/>
        <v>19.181570958029397</v>
      </c>
      <c r="F26" s="13">
        <f>(1.379*[2]!HEX2DEC(D26)+513)/J26</f>
        <v>5938.254340817785</v>
      </c>
      <c r="G26" s="1">
        <v>265</v>
      </c>
      <c r="H26" s="12">
        <v>28</v>
      </c>
      <c r="I26" s="13">
        <f>(1.379*[2]!HEX2DEC(G26)+513)/J26</f>
        <v>5539</v>
      </c>
      <c r="J26" s="16">
        <f>(1.379*[2]!HEX2DEC(G26)+513)/((H26*19.25)+5000)</f>
        <v>0.24522964434013358</v>
      </c>
      <c r="K26" s="15">
        <v>31.1</v>
      </c>
      <c r="L26" s="14">
        <f t="shared" si="0"/>
        <v>-3.1000000000000014</v>
      </c>
      <c r="M26" s="12">
        <f t="shared" si="3"/>
        <v>5598.675000000001</v>
      </c>
      <c r="N26" s="12">
        <f t="shared" si="1"/>
        <v>59.67500000000109</v>
      </c>
      <c r="O26" s="12">
        <v>35</v>
      </c>
      <c r="P26" s="1" t="str">
        <f>[2]!DEC2HEX((J26*(5000+19.5*(O26+5))-513)/1.379)</f>
        <v>28F</v>
      </c>
      <c r="Q26" s="1" t="str">
        <f>[2]!DEC2HEX((J26*(5000+19.5*(H26+5))-513)/1.379)</f>
        <v>277</v>
      </c>
      <c r="R26" s="1" t="str">
        <f>[2]!DEC2HEX((J26*(5000+19.5*(H26-5))-513)/1.379)</f>
        <v>254</v>
      </c>
      <c r="S26" s="12">
        <f t="shared" si="2"/>
        <v>28</v>
      </c>
      <c r="W26" s="8">
        <v>5.29</v>
      </c>
      <c r="Y26" s="25">
        <f>[2]!HEX2DEC(P26)</f>
        <v>655</v>
      </c>
      <c r="Z26" s="18">
        <f>1.379*[2]!HEX2DEC(P26)+513</f>
        <v>1416.245</v>
      </c>
    </row>
    <row r="27" spans="1:26" ht="12.75">
      <c r="A27" s="137">
        <v>2</v>
      </c>
      <c r="B27" s="138" t="s">
        <v>62</v>
      </c>
      <c r="C27" s="2" t="s">
        <v>64</v>
      </c>
      <c r="D27" s="1">
        <v>240</v>
      </c>
      <c r="E27" s="12">
        <f t="shared" si="4"/>
        <v>21.817795968544374</v>
      </c>
      <c r="F27" s="13">
        <f>(1.379*[2]!HEX2DEC(D27)+513)/J27</f>
        <v>5335.068683062452</v>
      </c>
      <c r="G27" s="1">
        <v>268</v>
      </c>
      <c r="H27" s="12">
        <v>29.1</v>
      </c>
      <c r="I27" s="13">
        <f>(1.379*[2]!HEX2DEC(G27)+513)/J27</f>
        <v>5560.175</v>
      </c>
      <c r="J27" s="16">
        <f>(1.379*[2]!HEX2DEC(G27)+513)/((H27*19.25)+5000)</f>
        <v>0.2450397694317175</v>
      </c>
      <c r="K27" s="14">
        <v>28.9</v>
      </c>
      <c r="L27" s="14">
        <f t="shared" si="0"/>
        <v>0.20000000000000284</v>
      </c>
      <c r="M27" s="12">
        <f t="shared" si="3"/>
        <v>5556.325000000001</v>
      </c>
      <c r="N27" s="12">
        <f t="shared" si="1"/>
        <v>-3.8499999999994543</v>
      </c>
      <c r="O27" s="12">
        <v>35</v>
      </c>
      <c r="P27" s="1" t="str">
        <f>[2]!DEC2HEX((J27*(5000+19.5*(O27+5))-513)/1.379)</f>
        <v>28F</v>
      </c>
      <c r="Q27" s="1" t="str">
        <f>[2]!DEC2HEX((J27*(5000+19.5*(H27+5))-513)/1.379)</f>
        <v>27A</v>
      </c>
      <c r="R27" s="1" t="str">
        <f>[2]!DEC2HEX((J27*(5000+19.5*(H27-5))-513)/1.379)</f>
        <v>257</v>
      </c>
      <c r="S27" s="12">
        <f t="shared" si="2"/>
        <v>29.10000000000001</v>
      </c>
      <c r="W27" s="4">
        <v>5.44</v>
      </c>
      <c r="Y27" s="25">
        <f>[2]!HEX2DEC(P27)</f>
        <v>655</v>
      </c>
      <c r="Z27" s="18">
        <f>1.379*[2]!HEX2DEC(P27)+513</f>
        <v>1416.245</v>
      </c>
    </row>
    <row r="28" spans="1:26" ht="12.75">
      <c r="A28" s="137"/>
      <c r="B28" s="138"/>
      <c r="C28" s="2" t="s">
        <v>65</v>
      </c>
      <c r="D28" s="1">
        <v>263</v>
      </c>
      <c r="E28" s="12">
        <f t="shared" si="4"/>
        <v>20.886059125797146</v>
      </c>
      <c r="F28" s="13">
        <f>(1.379*[2]!HEX2DEC(D28)+513)/J28</f>
        <v>5539.697743114681</v>
      </c>
      <c r="G28" s="1">
        <v>268</v>
      </c>
      <c r="H28" s="12">
        <v>29.5</v>
      </c>
      <c r="I28" s="13">
        <f>(1.379*[2]!HEX2DEC(G28)+513)/J28</f>
        <v>5567.875</v>
      </c>
      <c r="J28" s="16">
        <f>(1.379*[2]!HEX2DEC(G28)+513)/((H28*19.25)+5000)</f>
        <v>0.24470089576364412</v>
      </c>
      <c r="K28" s="14">
        <v>27.6</v>
      </c>
      <c r="L28" s="14">
        <f t="shared" si="0"/>
        <v>1.8999999999999986</v>
      </c>
      <c r="M28" s="12">
        <f t="shared" si="3"/>
        <v>5531.3</v>
      </c>
      <c r="N28" s="12">
        <f t="shared" si="1"/>
        <v>-36.57499999999982</v>
      </c>
      <c r="O28" s="12">
        <v>35</v>
      </c>
      <c r="P28" s="1" t="str">
        <f>[2]!DEC2HEX((J28*(5000+19.5*(O28+5))-513)/1.379)</f>
        <v>28D</v>
      </c>
      <c r="Q28" s="1" t="str">
        <f>[2]!DEC2HEX((J28*(5000+19.5*(H28+5))-513)/1.379)</f>
        <v>27A</v>
      </c>
      <c r="R28" s="1" t="str">
        <f>[2]!DEC2HEX((J28*(5000+19.5*(H28-5))-513)/1.379)</f>
        <v>258</v>
      </c>
      <c r="S28" s="12">
        <f t="shared" si="2"/>
        <v>29.5</v>
      </c>
      <c r="W28" s="4">
        <v>5.31</v>
      </c>
      <c r="Y28" s="25">
        <f>[2]!HEX2DEC(P28)</f>
        <v>653</v>
      </c>
      <c r="Z28" s="18">
        <f>1.379*[2]!HEX2DEC(P28)+513</f>
        <v>1413.487</v>
      </c>
    </row>
    <row r="29" spans="1:26" ht="12.75">
      <c r="A29" s="137"/>
      <c r="B29" s="138"/>
      <c r="C29" s="2" t="s">
        <v>66</v>
      </c>
      <c r="D29" s="1">
        <v>277</v>
      </c>
      <c r="E29" s="12">
        <f t="shared" si="4"/>
        <v>20.812121714781767</v>
      </c>
      <c r="F29" s="13">
        <f>(1.379*[2]!HEX2DEC(D29)+513)/J29</f>
        <v>5556.325</v>
      </c>
      <c r="G29" s="1">
        <v>277</v>
      </c>
      <c r="H29" s="12">
        <v>28.9</v>
      </c>
      <c r="I29" s="13">
        <f>(1.379*[2]!HEX2DEC(G29)+513)/J29</f>
        <v>5556.325</v>
      </c>
      <c r="J29" s="16">
        <f>(1.379*[2]!HEX2DEC(G29)+513)/((H29*19.25)+5000)</f>
        <v>0.2489323428705124</v>
      </c>
      <c r="K29" s="14">
        <v>29.6</v>
      </c>
      <c r="L29" s="14">
        <f t="shared" si="0"/>
        <v>-0.7000000000000028</v>
      </c>
      <c r="M29" s="12">
        <f t="shared" si="3"/>
        <v>5569.8</v>
      </c>
      <c r="N29" s="12">
        <f t="shared" si="1"/>
        <v>13.475000000000364</v>
      </c>
      <c r="O29" s="12">
        <v>35</v>
      </c>
      <c r="P29" s="1" t="str">
        <f>[2]!DEC2HEX((J29*(5000+19.5*(O29+5))-513)/1.379)</f>
        <v>29F</v>
      </c>
      <c r="Q29" s="1" t="str">
        <f>[2]!DEC2HEX((J29*(5000+19.5*(H29+5))-513)/1.379)</f>
        <v>289</v>
      </c>
      <c r="R29" s="1" t="str">
        <f>[2]!DEC2HEX((J29*(5000+19.5*(H29-5))-513)/1.379)</f>
        <v>266</v>
      </c>
      <c r="S29" s="12">
        <f t="shared" si="2"/>
        <v>28.89999999999999</v>
      </c>
      <c r="W29" s="4">
        <v>5.34</v>
      </c>
      <c r="Y29" s="25">
        <f>[2]!HEX2DEC(P29)</f>
        <v>671</v>
      </c>
      <c r="Z29" s="18">
        <f>1.379*[2]!HEX2DEC(P29)+513</f>
        <v>1438.309</v>
      </c>
    </row>
    <row r="30" spans="1:26" ht="12.75">
      <c r="A30" s="137"/>
      <c r="B30" s="138"/>
      <c r="C30" s="2" t="s">
        <v>67</v>
      </c>
      <c r="D30" s="1" t="s">
        <v>24</v>
      </c>
      <c r="E30" s="12">
        <f t="shared" si="4"/>
        <v>21.820361550511734</v>
      </c>
      <c r="F30" s="13">
        <f>(1.379*[2]!HEX2DEC(D30)+513)/J30</f>
        <v>5334.517545069006</v>
      </c>
      <c r="G30" s="1">
        <v>276</v>
      </c>
      <c r="H30" s="12">
        <v>28.9</v>
      </c>
      <c r="I30" s="13">
        <f>(1.379*[2]!HEX2DEC(G30)+513)/J30</f>
        <v>5556.325</v>
      </c>
      <c r="J30" s="16">
        <f>(1.379*[2]!HEX2DEC(G30)+513)/((H30*19.25)+5000)</f>
        <v>0.2486841572442217</v>
      </c>
      <c r="K30" s="14">
        <v>29.21</v>
      </c>
      <c r="L30" s="14">
        <f t="shared" si="0"/>
        <v>-0.3100000000000023</v>
      </c>
      <c r="M30" s="12">
        <f t="shared" si="3"/>
        <v>5562.2925</v>
      </c>
      <c r="N30" s="12">
        <f t="shared" si="1"/>
        <v>5.967499999999745</v>
      </c>
      <c r="O30" s="12">
        <v>35</v>
      </c>
      <c r="P30" s="1" t="str">
        <f>[2]!DEC2HEX((J30*(5000+19.5*(O30+5))-513)/1.379)</f>
        <v>29E</v>
      </c>
      <c r="Q30" s="1" t="str">
        <f>[2]!DEC2HEX((J30*(5000+19.5*(H30+5))-513)/1.379)</f>
        <v>288</v>
      </c>
      <c r="R30" s="1" t="str">
        <f>[2]!DEC2HEX((J30*(5000+19.5*(H30-5))-513)/1.379)</f>
        <v>265</v>
      </c>
      <c r="S30" s="12">
        <f t="shared" si="2"/>
        <v>28.89999999999999</v>
      </c>
      <c r="W30" s="4">
        <v>5.34</v>
      </c>
      <c r="Y30" s="25">
        <f>[2]!HEX2DEC(P30)</f>
        <v>670</v>
      </c>
      <c r="Z30" s="18">
        <f>1.379*[2]!HEX2DEC(P30)+513</f>
        <v>1436.9299999999998</v>
      </c>
    </row>
    <row r="31" spans="1:26" ht="12.75">
      <c r="A31" s="137"/>
      <c r="B31" s="138"/>
      <c r="C31" s="2" t="s">
        <v>68</v>
      </c>
      <c r="D31" s="1">
        <v>268</v>
      </c>
      <c r="E31" s="12">
        <f t="shared" si="4"/>
        <v>20.989761276635818</v>
      </c>
      <c r="F31" s="13">
        <f>(1.379*[2]!HEX2DEC(D31)+513)/J31</f>
        <v>5516.474718224265</v>
      </c>
      <c r="G31" s="1" t="s">
        <v>16</v>
      </c>
      <c r="H31" s="12">
        <v>27.7</v>
      </c>
      <c r="I31" s="13">
        <f>(1.379*[2]!HEX2DEC(G31)+513)/J31</f>
        <v>5533.225</v>
      </c>
      <c r="J31" s="16">
        <f>(1.379*[2]!HEX2DEC(G31)+513)/((H31*19.25)+5000)</f>
        <v>0.2469809198071649</v>
      </c>
      <c r="K31" s="14">
        <v>27.16</v>
      </c>
      <c r="L31" s="14">
        <f t="shared" si="0"/>
        <v>0.5399999999999991</v>
      </c>
      <c r="M31" s="12">
        <f t="shared" si="3"/>
        <v>5522.83</v>
      </c>
      <c r="N31" s="12">
        <f t="shared" si="1"/>
        <v>-10.395000000000437</v>
      </c>
      <c r="O31" s="12">
        <v>35</v>
      </c>
      <c r="P31" s="1" t="str">
        <f>[2]!DEC2HEX((J31*(5000+19.5*(O31+5))-513)/1.379)</f>
        <v>297</v>
      </c>
      <c r="Q31" s="1" t="str">
        <f>[2]!DEC2HEX((J31*(5000+19.5*(H31+5))-513)/1.379)</f>
        <v>27D</v>
      </c>
      <c r="R31" s="1" t="str">
        <f>[2]!DEC2HEX((J31*(5000+19.5*(H31-5))-513)/1.379)</f>
        <v>25A</v>
      </c>
      <c r="S31" s="12">
        <f t="shared" si="2"/>
        <v>27.70000000000002</v>
      </c>
      <c r="W31" s="4">
        <v>5.53</v>
      </c>
      <c r="Y31" s="25">
        <f>[2]!HEX2DEC(P31)</f>
        <v>663</v>
      </c>
      <c r="Z31" s="18">
        <f>1.379*[2]!HEX2DEC(P31)+513</f>
        <v>1427.277</v>
      </c>
    </row>
    <row r="32" spans="1:26" ht="12.75">
      <c r="A32" s="137"/>
      <c r="B32" s="138"/>
      <c r="C32" s="2" t="s">
        <v>69</v>
      </c>
      <c r="D32" s="1" t="s">
        <v>20</v>
      </c>
      <c r="E32" s="12">
        <f t="shared" si="4"/>
        <v>21.065629564952417</v>
      </c>
      <c r="F32" s="13">
        <f>(1.379*[2]!HEX2DEC(D32)+513)/J32</f>
        <v>5499.556808985748</v>
      </c>
      <c r="G32" s="1">
        <v>263</v>
      </c>
      <c r="H32" s="12">
        <v>28</v>
      </c>
      <c r="I32" s="13">
        <f>(1.379*[2]!HEX2DEC(G32)+513)/J32</f>
        <v>5539</v>
      </c>
      <c r="J32" s="16">
        <f>(1.379*[2]!HEX2DEC(G32)+513)/((H32*19.25)+5000)</f>
        <v>0.24473172052717096</v>
      </c>
      <c r="K32" s="14">
        <v>27.53</v>
      </c>
      <c r="L32" s="14">
        <f t="shared" si="0"/>
        <v>0.46999999999999886</v>
      </c>
      <c r="M32" s="12">
        <f t="shared" si="3"/>
        <v>5529.9525</v>
      </c>
      <c r="N32" s="12">
        <f t="shared" si="1"/>
        <v>-9.047499999999673</v>
      </c>
      <c r="O32" s="12">
        <v>35</v>
      </c>
      <c r="P32" s="1" t="str">
        <f>[2]!DEC2HEX((J32*(5000+19.5*(O32+5))-513)/1.379)</f>
        <v>28D</v>
      </c>
      <c r="Q32" s="1" t="str">
        <f>[2]!DEC2HEX((J32*(5000+19.5*(H32+5))-513)/1.379)</f>
        <v>275</v>
      </c>
      <c r="R32" s="1" t="str">
        <f>[2]!DEC2HEX((J32*(5000+19.5*(H32-5))-513)/1.379)</f>
        <v>252</v>
      </c>
      <c r="S32" s="12">
        <f t="shared" si="2"/>
        <v>28</v>
      </c>
      <c r="W32" s="4">
        <v>5.39</v>
      </c>
      <c r="Y32" s="25">
        <f>[2]!HEX2DEC(P32)</f>
        <v>653</v>
      </c>
      <c r="Z32" s="18">
        <f>1.379*[2]!HEX2DEC(P32)+513</f>
        <v>1413.487</v>
      </c>
    </row>
    <row r="33" spans="1:26" ht="12.75">
      <c r="A33" s="137"/>
      <c r="B33" s="139" t="s">
        <v>61</v>
      </c>
      <c r="C33" s="2" t="s">
        <v>64</v>
      </c>
      <c r="D33" s="1" t="s">
        <v>28</v>
      </c>
      <c r="E33" s="12">
        <f t="shared" si="4"/>
        <v>19.891095473119265</v>
      </c>
      <c r="F33" s="13">
        <f>(1.379*[2]!HEX2DEC(D33)+513)/J33</f>
        <v>5768.410741260273</v>
      </c>
      <c r="G33" s="1" t="s">
        <v>30</v>
      </c>
      <c r="H33" s="12">
        <v>30.4</v>
      </c>
      <c r="I33" s="13">
        <f>(1.379*[2]!HEX2DEC(G33)+513)/J33</f>
        <v>5585.2</v>
      </c>
      <c r="J33" s="16">
        <f>(1.379*[2]!HEX2DEC(G33)+513)/((H33*19.25)+5000)</f>
        <v>0.24838609181408008</v>
      </c>
      <c r="K33" s="14">
        <v>29.3</v>
      </c>
      <c r="L33" s="14">
        <f t="shared" si="0"/>
        <v>1.0999999999999979</v>
      </c>
      <c r="M33" s="12">
        <f t="shared" si="3"/>
        <v>5564.025000000001</v>
      </c>
      <c r="N33" s="12">
        <f t="shared" si="1"/>
        <v>-21.174999999999272</v>
      </c>
      <c r="O33" s="12">
        <v>35</v>
      </c>
      <c r="P33" s="1" t="str">
        <f>[2]!DEC2HEX((J33*(5000+19.5*(O33+5))-513)/1.379)</f>
        <v>29D</v>
      </c>
      <c r="Q33" s="1" t="str">
        <f>[2]!DEC2HEX((J33*(5000+19.5*(H33+5))-513)/1.379)</f>
        <v>28C</v>
      </c>
      <c r="R33" s="1" t="str">
        <f>[2]!DEC2HEX((J33*(5000+19.5*(H33-5))-513)/1.379)</f>
        <v>269</v>
      </c>
      <c r="S33" s="12">
        <f t="shared" si="2"/>
        <v>30.39999999999999</v>
      </c>
      <c r="W33" s="4">
        <v>5.88</v>
      </c>
      <c r="Y33" s="25">
        <f>[2]!HEX2DEC(P33)</f>
        <v>669</v>
      </c>
      <c r="Z33" s="18">
        <f>1.379*[2]!HEX2DEC(P33)+513</f>
        <v>1435.551</v>
      </c>
    </row>
    <row r="34" spans="1:26" ht="12.75">
      <c r="A34" s="137"/>
      <c r="B34" s="139"/>
      <c r="C34" s="2" t="s">
        <v>65</v>
      </c>
      <c r="D34" s="1" t="s">
        <v>29</v>
      </c>
      <c r="E34" s="12">
        <f t="shared" si="4"/>
        <v>19.92224838322369</v>
      </c>
      <c r="F34" s="13">
        <f>(1.379*[2]!HEX2DEC(D34)+513)/J34</f>
        <v>5761.084379243815</v>
      </c>
      <c r="G34" s="1" t="s">
        <v>26</v>
      </c>
      <c r="H34" s="12">
        <v>29.6</v>
      </c>
      <c r="I34" s="13">
        <f>(1.379*[2]!HEX2DEC(G34)+513)/J34</f>
        <v>5569.8</v>
      </c>
      <c r="J34" s="16">
        <f>(1.379*[2]!HEX2DEC(G34)+513)/((H34*19.25)+5000)</f>
        <v>0.2451114941290531</v>
      </c>
      <c r="K34" s="14">
        <v>27.6</v>
      </c>
      <c r="L34" s="14">
        <f t="shared" si="0"/>
        <v>2</v>
      </c>
      <c r="M34" s="12">
        <f t="shared" si="3"/>
        <v>5531.3</v>
      </c>
      <c r="N34" s="12">
        <f t="shared" si="1"/>
        <v>-38.5</v>
      </c>
      <c r="O34" s="12">
        <v>35</v>
      </c>
      <c r="P34" s="1" t="str">
        <f>[2]!DEC2HEX((J34*(5000+19.5*(O34+5))-513)/1.379)</f>
        <v>28F</v>
      </c>
      <c r="Q34" s="1" t="str">
        <f>[2]!DEC2HEX((J34*(5000+19.5*(H34+5))-513)/1.379)</f>
        <v>27C</v>
      </c>
      <c r="R34" s="1" t="str">
        <f>[2]!DEC2HEX((J34*(5000+19.5*(H34-5))-513)/1.379)</f>
        <v>259</v>
      </c>
      <c r="S34" s="12">
        <f t="shared" si="2"/>
        <v>29.60000000000001</v>
      </c>
      <c r="W34" s="4">
        <v>5.25</v>
      </c>
      <c r="Y34" s="25">
        <f>[2]!HEX2DEC(P34)</f>
        <v>655</v>
      </c>
      <c r="Z34" s="18">
        <f>1.379*[2]!HEX2DEC(P34)+513</f>
        <v>1416.245</v>
      </c>
    </row>
    <row r="35" spans="1:26" ht="12.75">
      <c r="A35" s="137"/>
      <c r="B35" s="139"/>
      <c r="C35" s="2" t="s">
        <v>66</v>
      </c>
      <c r="D35" s="1" t="s">
        <v>22</v>
      </c>
      <c r="E35" s="12">
        <f aca="true" t="shared" si="5" ref="E35:E66">(3500/(LN(F35/4700)+11.745))-273</f>
        <v>22.21321467090604</v>
      </c>
      <c r="F35" s="13">
        <f>(1.379*[2]!HEX2DEC(D35)+513)/J35</f>
        <v>5250.904482248884</v>
      </c>
      <c r="G35" s="1">
        <v>274</v>
      </c>
      <c r="H35" s="12">
        <v>28.3</v>
      </c>
      <c r="I35" s="13">
        <f>(1.379*[2]!HEX2DEC(G35)+513)/J35</f>
        <v>5544.775</v>
      </c>
      <c r="J35" s="16">
        <f>(1.379*[2]!HEX2DEC(G35)+513)/((H35*19.25)+5000)</f>
        <v>0.2487047716093079</v>
      </c>
      <c r="K35" s="14">
        <v>28.1</v>
      </c>
      <c r="L35" s="14">
        <f aca="true" t="shared" si="6" ref="L35:L57">H35-K35</f>
        <v>0.1999999999999993</v>
      </c>
      <c r="M35" s="12">
        <f t="shared" si="3"/>
        <v>5540.924999999999</v>
      </c>
      <c r="N35" s="12">
        <f aca="true" t="shared" si="7" ref="N35:N66">M35-I35</f>
        <v>-3.850000000000364</v>
      </c>
      <c r="O35" s="12">
        <v>35</v>
      </c>
      <c r="P35" s="1" t="str">
        <f>[2]!DEC2HEX((J35*(5000+19.5*(O35+5))-513)/1.379)</f>
        <v>29E</v>
      </c>
      <c r="Q35" s="1" t="str">
        <f>[2]!DEC2HEX((J35*(5000+19.5*(H35+5))-513)/1.379)</f>
        <v>286</v>
      </c>
      <c r="R35" s="1" t="str">
        <f>[2]!DEC2HEX((J35*(5000+19.5*(H35-5))-513)/1.379)</f>
        <v>263</v>
      </c>
      <c r="S35" s="12">
        <f aca="true" t="shared" si="8" ref="S35:S66">(I35-5000)/19.25</f>
        <v>28.29999999999998</v>
      </c>
      <c r="W35" s="4">
        <v>5.2</v>
      </c>
      <c r="Y35" s="25">
        <f>[2]!HEX2DEC(P35)</f>
        <v>670</v>
      </c>
      <c r="Z35" s="18">
        <f>1.379*[2]!HEX2DEC(P35)+513</f>
        <v>1436.9299999999998</v>
      </c>
    </row>
    <row r="36" spans="1:26" ht="12.75">
      <c r="A36" s="137"/>
      <c r="B36" s="139"/>
      <c r="C36" s="2" t="s">
        <v>67</v>
      </c>
      <c r="D36" s="1">
        <v>228</v>
      </c>
      <c r="E36" s="12">
        <f t="shared" si="5"/>
        <v>22.453985119917206</v>
      </c>
      <c r="F36" s="13">
        <f>(1.379*[2]!HEX2DEC(D36)+513)/J36</f>
        <v>5200.417034672154</v>
      </c>
      <c r="G36" s="1" t="s">
        <v>16</v>
      </c>
      <c r="H36" s="12">
        <v>30</v>
      </c>
      <c r="I36" s="13">
        <f>(1.379*[2]!HEX2DEC(G36)+513)/J36</f>
        <v>5577.5</v>
      </c>
      <c r="J36" s="16">
        <f>(1.379*[2]!HEX2DEC(G36)+513)/((H36*19.25)+5000)</f>
        <v>0.24502034961900496</v>
      </c>
      <c r="K36" s="14">
        <v>29.1</v>
      </c>
      <c r="L36" s="14">
        <f t="shared" si="6"/>
        <v>0.8999999999999986</v>
      </c>
      <c r="M36" s="12">
        <f t="shared" si="3"/>
        <v>5560.175</v>
      </c>
      <c r="N36" s="12">
        <f t="shared" si="7"/>
        <v>-17.324999999999818</v>
      </c>
      <c r="O36" s="12">
        <v>35</v>
      </c>
      <c r="P36" s="1" t="str">
        <f>[2]!DEC2HEX((J36*(5000+19.5*(O36+5))-513)/1.379)</f>
        <v>28E</v>
      </c>
      <c r="Q36" s="1" t="str">
        <f>[2]!DEC2HEX((J36*(5000+19.5*(H36+5))-513)/1.379)</f>
        <v>27D</v>
      </c>
      <c r="R36" s="1" t="str">
        <f>[2]!DEC2HEX((J36*(5000+19.5*(H36-5))-513)/1.379)</f>
        <v>25B</v>
      </c>
      <c r="S36" s="12">
        <f t="shared" si="8"/>
        <v>30</v>
      </c>
      <c r="W36" s="4">
        <v>5.2</v>
      </c>
      <c r="Y36" s="25">
        <f>[2]!HEX2DEC(P36)</f>
        <v>654</v>
      </c>
      <c r="Z36" s="18">
        <f>1.379*[2]!HEX2DEC(P36)+513</f>
        <v>1414.866</v>
      </c>
    </row>
    <row r="37" spans="1:26" ht="12.75">
      <c r="A37" s="137"/>
      <c r="B37" s="139"/>
      <c r="C37" s="2" t="s">
        <v>68</v>
      </c>
      <c r="D37" s="1">
        <v>231</v>
      </c>
      <c r="E37" s="12">
        <f t="shared" si="5"/>
        <v>22.09025783284568</v>
      </c>
      <c r="F37" s="13">
        <f>(1.379*[2]!HEX2DEC(D37)+513)/J37</f>
        <v>5276.908313543988</v>
      </c>
      <c r="G37" s="1" t="s">
        <v>31</v>
      </c>
      <c r="H37" s="12">
        <v>27.9</v>
      </c>
      <c r="I37" s="13">
        <f>(1.379*[2]!HEX2DEC(G37)+513)/J37</f>
        <v>5537.075</v>
      </c>
      <c r="J37" s="16">
        <f>(1.379*[2]!HEX2DEC(G37)+513)/((H37*19.25)+5000)</f>
        <v>0.24382060925669238</v>
      </c>
      <c r="K37" s="14">
        <v>27.84</v>
      </c>
      <c r="L37" s="14">
        <f t="shared" si="6"/>
        <v>0.05999999999999872</v>
      </c>
      <c r="M37" s="12">
        <f t="shared" si="3"/>
        <v>5535.92</v>
      </c>
      <c r="N37" s="12">
        <f t="shared" si="7"/>
        <v>-1.1549999999997453</v>
      </c>
      <c r="O37" s="12">
        <v>35</v>
      </c>
      <c r="P37" s="1" t="str">
        <f>[2]!DEC2HEX((J37*(5000+19.5*(O37+5))-513)/1.379)</f>
        <v>289</v>
      </c>
      <c r="Q37" s="1" t="str">
        <f>[2]!DEC2HEX((J37*(5000+19.5*(H37+5))-513)/1.379)</f>
        <v>271</v>
      </c>
      <c r="R37" s="1" t="str">
        <f>[2]!DEC2HEX((J37*(5000+19.5*(H37-5))-513)/1.379)</f>
        <v>24E</v>
      </c>
      <c r="S37" s="12">
        <f t="shared" si="8"/>
        <v>27.89999999999999</v>
      </c>
      <c r="W37" s="4">
        <v>5.34</v>
      </c>
      <c r="Y37" s="25">
        <f>[2]!HEX2DEC(P37)</f>
        <v>649</v>
      </c>
      <c r="Z37" s="18">
        <f>1.379*[2]!HEX2DEC(P37)+513</f>
        <v>1407.971</v>
      </c>
    </row>
    <row r="38" spans="1:26" ht="12.75">
      <c r="A38" s="137"/>
      <c r="B38" s="139"/>
      <c r="C38" s="2" t="s">
        <v>69</v>
      </c>
      <c r="D38" s="1">
        <v>247</v>
      </c>
      <c r="E38" s="12">
        <f t="shared" si="5"/>
        <v>21.82755054175942</v>
      </c>
      <c r="F38" s="13">
        <f>(1.379*[2]!HEX2DEC(D38)+513)/J38</f>
        <v>5332.97356122642</v>
      </c>
      <c r="G38" s="1">
        <v>265</v>
      </c>
      <c r="H38" s="12">
        <v>26</v>
      </c>
      <c r="I38" s="13">
        <f>(1.379*[2]!HEX2DEC(G38)+513)/J38</f>
        <v>5500.5</v>
      </c>
      <c r="J38" s="16">
        <f>(1.379*[2]!HEX2DEC(G38)+513)/((H38*19.25)+5000)</f>
        <v>0.24694609580947186</v>
      </c>
      <c r="K38" s="14">
        <v>26.51</v>
      </c>
      <c r="L38" s="14">
        <f t="shared" si="6"/>
        <v>-0.5100000000000016</v>
      </c>
      <c r="M38" s="12">
        <f t="shared" si="3"/>
        <v>5510.3175</v>
      </c>
      <c r="N38" s="12">
        <f t="shared" si="7"/>
        <v>9.81750000000011</v>
      </c>
      <c r="O38" s="12">
        <v>35</v>
      </c>
      <c r="P38" s="1" t="str">
        <f>[2]!DEC2HEX((J38*(5000+19.5*(O38+5))-513)/1.379)</f>
        <v>297</v>
      </c>
      <c r="Q38" s="1" t="str">
        <f>[2]!DEC2HEX((J38*(5000+19.5*(H38+5))-513)/1.379)</f>
        <v>277</v>
      </c>
      <c r="R38" s="1" t="str">
        <f>[2]!DEC2HEX((J38*(5000+19.5*(H38-5))-513)/1.379)</f>
        <v>254</v>
      </c>
      <c r="S38" s="12">
        <f t="shared" si="8"/>
        <v>26</v>
      </c>
      <c r="W38" s="4">
        <v>5.34</v>
      </c>
      <c r="Y38" s="25">
        <f>[2]!HEX2DEC(P38)</f>
        <v>663</v>
      </c>
      <c r="Z38" s="18">
        <f>1.379*[2]!HEX2DEC(P38)+513</f>
        <v>1427.277</v>
      </c>
    </row>
    <row r="39" spans="1:29" ht="12.75">
      <c r="A39" s="137">
        <v>3</v>
      </c>
      <c r="B39" s="138" t="s">
        <v>62</v>
      </c>
      <c r="C39" s="2" t="s">
        <v>64</v>
      </c>
      <c r="D39" s="1" t="s">
        <v>0</v>
      </c>
      <c r="E39" s="12">
        <f t="shared" si="5"/>
        <v>19.498958843313176</v>
      </c>
      <c r="F39" s="13">
        <f>(1.379*[2]!HEX2DEC(D39)+513)/J39</f>
        <v>5861.567545839744</v>
      </c>
      <c r="G39" s="1">
        <v>268</v>
      </c>
      <c r="H39" s="12">
        <v>28.7</v>
      </c>
      <c r="I39" s="13">
        <f>(1.379*[2]!HEX2DEC(G39)+513)/J39</f>
        <v>5552.475</v>
      </c>
      <c r="J39" s="16">
        <f>(1.379*[2]!HEX2DEC(G39)+513)/((H39*19.25)+5000)</f>
        <v>0.2453795829787617</v>
      </c>
      <c r="K39" s="14">
        <v>32.7</v>
      </c>
      <c r="L39" s="14">
        <f t="shared" si="6"/>
        <v>-4.0000000000000036</v>
      </c>
      <c r="M39" s="12">
        <f t="shared" si="3"/>
        <v>5629.475</v>
      </c>
      <c r="N39" s="12">
        <f t="shared" si="7"/>
        <v>77</v>
      </c>
      <c r="O39" s="12">
        <v>35</v>
      </c>
      <c r="P39" s="1" t="str">
        <f>[2]!DEC2HEX((J39*(5000+19.5*(O39+5))-513)/1.379)</f>
        <v>290</v>
      </c>
      <c r="Q39" s="1" t="str">
        <f>[2]!DEC2HEX((J39*(5000+19.5*(H39+5))-513)/1.379)</f>
        <v>27A</v>
      </c>
      <c r="R39" s="1" t="str">
        <f>[2]!DEC2HEX((J39*(5000+19.5*(H39-5))-513)/1.379)</f>
        <v>257</v>
      </c>
      <c r="S39" s="12">
        <f t="shared" si="8"/>
        <v>28.70000000000002</v>
      </c>
      <c r="W39" s="4">
        <v>5.38</v>
      </c>
      <c r="Y39" s="25">
        <f>[2]!HEX2DEC(P39)</f>
        <v>656</v>
      </c>
      <c r="Z39" s="18">
        <f>1.379*[2]!HEX2DEC(P39)+513</f>
        <v>1417.624</v>
      </c>
      <c r="AA39" s="1"/>
      <c r="AB39" s="1"/>
      <c r="AC39" s="1"/>
    </row>
    <row r="40" spans="1:28" ht="12.75">
      <c r="A40" s="137"/>
      <c r="B40" s="138"/>
      <c r="C40" s="2" t="s">
        <v>65</v>
      </c>
      <c r="D40" s="1">
        <v>287</v>
      </c>
      <c r="E40" s="12">
        <f t="shared" si="5"/>
        <v>19.936410601353202</v>
      </c>
      <c r="F40" s="13">
        <f>(1.379*[2]!HEX2DEC(D40)+513)/J40</f>
        <v>5757.757382212877</v>
      </c>
      <c r="G40" s="7">
        <v>272</v>
      </c>
      <c r="H40" s="12">
        <v>33.2</v>
      </c>
      <c r="I40" s="13">
        <f>(1.379*[2]!HEX2DEC(G40)+513)/J40</f>
        <v>5639.1</v>
      </c>
      <c r="J40" s="16">
        <f>(1.379*[2]!HEX2DEC(G40)+513)/((H40*19.25)+5000)</f>
        <v>0.2440556117110886</v>
      </c>
      <c r="K40" s="14">
        <v>35.6</v>
      </c>
      <c r="L40" s="14">
        <f t="shared" si="6"/>
        <v>-2.3999999999999986</v>
      </c>
      <c r="M40" s="12">
        <f t="shared" si="3"/>
        <v>5685.299999999999</v>
      </c>
      <c r="N40" s="12">
        <f t="shared" si="7"/>
        <v>46.19999999999891</v>
      </c>
      <c r="O40" s="12">
        <v>35</v>
      </c>
      <c r="P40" s="1" t="str">
        <f>[2]!DEC2HEX((J40*(5000+19.5*(O40+5))-513)/1.379)</f>
        <v>28A</v>
      </c>
      <c r="Q40" s="1" t="str">
        <f>[2]!DEC2HEX((J40*(5000+19.5*(H40+5))-513)/1.379)</f>
        <v>284</v>
      </c>
      <c r="R40" s="1" t="str">
        <f>[2]!DEC2HEX((J40*(5000+19.5*(H40-5))-513)/1.379)</f>
        <v>262</v>
      </c>
      <c r="S40" s="12">
        <f t="shared" si="8"/>
        <v>33.20000000000002</v>
      </c>
      <c r="W40" s="8">
        <v>4.83</v>
      </c>
      <c r="Y40" s="25">
        <f>[2]!HEX2DEC(P40)</f>
        <v>650</v>
      </c>
      <c r="Z40" s="18">
        <f>1.379*[2]!HEX2DEC(P40)+513</f>
        <v>1409.35</v>
      </c>
      <c r="AA40" s="1"/>
      <c r="AB40" s="1"/>
    </row>
    <row r="41" spans="1:27" ht="12.75">
      <c r="A41" s="137"/>
      <c r="B41" s="138"/>
      <c r="C41" s="2" t="s">
        <v>66</v>
      </c>
      <c r="D41" s="1" t="s">
        <v>1</v>
      </c>
      <c r="E41" s="12">
        <f t="shared" si="5"/>
        <v>20.75932978366194</v>
      </c>
      <c r="F41" s="13">
        <f>(1.379*[2]!HEX2DEC(D41)+513)/J41</f>
        <v>5568.232670406401</v>
      </c>
      <c r="G41" s="1">
        <v>271</v>
      </c>
      <c r="H41" s="12">
        <v>30.1</v>
      </c>
      <c r="I41" s="13">
        <f>(1.379*[2]!HEX2DEC(G41)+513)/J41</f>
        <v>5579.425</v>
      </c>
      <c r="J41" s="16">
        <f>(1.379*[2]!HEX2DEC(G41)+513)/((H41*19.25)+5000)</f>
        <v>0.24641876178996938</v>
      </c>
      <c r="K41" s="14">
        <v>31.85</v>
      </c>
      <c r="L41" s="14">
        <f t="shared" si="6"/>
        <v>-1.75</v>
      </c>
      <c r="M41" s="12">
        <f t="shared" si="3"/>
        <v>5613.112499999999</v>
      </c>
      <c r="N41" s="12">
        <f t="shared" si="7"/>
        <v>33.68749999999909</v>
      </c>
      <c r="O41" s="12">
        <v>35</v>
      </c>
      <c r="P41" s="1" t="str">
        <f>[2]!DEC2HEX((J41*(5000+19.5*(O41+5))-513)/1.379)</f>
        <v>294</v>
      </c>
      <c r="Q41" s="1" t="str">
        <f>[2]!DEC2HEX((J41*(5000+19.5*(H41+5))-513)/1.379)</f>
        <v>283</v>
      </c>
      <c r="R41" s="1" t="str">
        <f>[2]!DEC2HEX((J41*(5000+19.5*(H41-5))-513)/1.379)</f>
        <v>260</v>
      </c>
      <c r="S41" s="12">
        <f t="shared" si="8"/>
        <v>30.10000000000001</v>
      </c>
      <c r="W41" s="4">
        <v>5.18</v>
      </c>
      <c r="Y41" s="25">
        <f>[2]!HEX2DEC(P41)</f>
        <v>660</v>
      </c>
      <c r="Z41" s="18">
        <f>1.379*[2]!HEX2DEC(P41)+513</f>
        <v>1423.1399999999999</v>
      </c>
      <c r="AA41" s="1"/>
    </row>
    <row r="42" spans="1:27" ht="12.75">
      <c r="A42" s="137"/>
      <c r="B42" s="138"/>
      <c r="C42" s="2" t="s">
        <v>67</v>
      </c>
      <c r="D42" s="1">
        <v>255</v>
      </c>
      <c r="E42" s="12">
        <f t="shared" si="5"/>
        <v>21.583252760175412</v>
      </c>
      <c r="F42" s="13">
        <f>(1.379*[2]!HEX2DEC(D42)+513)/J42</f>
        <v>5385.735461421874</v>
      </c>
      <c r="G42" s="1">
        <v>273</v>
      </c>
      <c r="H42" s="12">
        <v>28.7</v>
      </c>
      <c r="I42" s="13">
        <f>(1.379*[2]!HEX2DEC(G42)+513)/J42</f>
        <v>5552.475</v>
      </c>
      <c r="J42" s="16">
        <f>(1.379*[2]!HEX2DEC(G42)+513)/((H42*19.25)+5000)</f>
        <v>0.2481115178366404</v>
      </c>
      <c r="K42" s="14">
        <v>33.6</v>
      </c>
      <c r="L42" s="14">
        <f t="shared" si="6"/>
        <v>-4.900000000000002</v>
      </c>
      <c r="M42" s="12">
        <f t="shared" si="3"/>
        <v>5646.800000000001</v>
      </c>
      <c r="N42" s="12">
        <f t="shared" si="7"/>
        <v>94.32500000000073</v>
      </c>
      <c r="O42" s="12">
        <v>35</v>
      </c>
      <c r="P42" s="1" t="str">
        <f>[2]!DEC2HEX((J42*(5000+19.5*(O42+5))-513)/1.379)</f>
        <v>29B</v>
      </c>
      <c r="Q42" s="1" t="str">
        <f>[2]!DEC2HEX((J42*(5000+19.5*(H42+5))-513)/1.379)</f>
        <v>285</v>
      </c>
      <c r="R42" s="1" t="str">
        <f>[2]!DEC2HEX((J42*(5000+19.5*(H42-5))-513)/1.379)</f>
        <v>262</v>
      </c>
      <c r="S42" s="12">
        <f t="shared" si="8"/>
        <v>28.70000000000002</v>
      </c>
      <c r="W42" s="4">
        <v>5.4</v>
      </c>
      <c r="Y42" s="25">
        <f>[2]!HEX2DEC(P42)</f>
        <v>667</v>
      </c>
      <c r="Z42" s="18">
        <f>1.379*[2]!HEX2DEC(P42)+513</f>
        <v>1432.7930000000001</v>
      </c>
      <c r="AA42" s="1"/>
    </row>
    <row r="43" spans="1:27" ht="12.75">
      <c r="A43" s="137"/>
      <c r="B43" s="138"/>
      <c r="C43" s="2" t="s">
        <v>68</v>
      </c>
      <c r="D43" s="1" t="s">
        <v>2</v>
      </c>
      <c r="E43" s="12">
        <f t="shared" si="5"/>
        <v>26.11617353606414</v>
      </c>
      <c r="F43" s="13">
        <f>(1.379*[2]!HEX2DEC(D43)+513)/J43</f>
        <v>4498.309969142265</v>
      </c>
      <c r="G43" s="1">
        <v>267</v>
      </c>
      <c r="H43" s="12">
        <v>28.2</v>
      </c>
      <c r="I43" s="13">
        <f>(1.379*[2]!HEX2DEC(G43)+513)/J43</f>
        <v>5542.85</v>
      </c>
      <c r="J43" s="16">
        <f>(1.379*[2]!HEX2DEC(G43)+513)/((H43*19.25)+5000)</f>
        <v>0.24555688860423788</v>
      </c>
      <c r="K43" s="14">
        <v>32.09</v>
      </c>
      <c r="L43" s="14">
        <f t="shared" si="6"/>
        <v>-3.890000000000004</v>
      </c>
      <c r="M43" s="12">
        <f t="shared" si="3"/>
        <v>5617.7325</v>
      </c>
      <c r="N43" s="12">
        <f t="shared" si="7"/>
        <v>74.88249999999971</v>
      </c>
      <c r="O43" s="12">
        <v>35</v>
      </c>
      <c r="P43" s="1" t="str">
        <f>[2]!DEC2HEX((J43*(5000+19.5*(O43+5))-513)/1.379)</f>
        <v>291</v>
      </c>
      <c r="Q43" s="1" t="str">
        <f>[2]!DEC2HEX((J43*(5000+19.5*(H43+5))-513)/1.379)</f>
        <v>279</v>
      </c>
      <c r="R43" s="1" t="str">
        <f>[2]!DEC2HEX((J43*(5000+19.5*(H43-5))-513)/1.379)</f>
        <v>256</v>
      </c>
      <c r="S43" s="12">
        <f t="shared" si="8"/>
        <v>28.20000000000002</v>
      </c>
      <c r="W43" s="9">
        <v>5.06</v>
      </c>
      <c r="Y43" s="25">
        <f>[2]!HEX2DEC(P43)</f>
        <v>657</v>
      </c>
      <c r="Z43" s="18">
        <f>1.379*[2]!HEX2DEC(P43)+513</f>
        <v>1419.0030000000002</v>
      </c>
      <c r="AA43" s="1"/>
    </row>
    <row r="44" spans="1:27" ht="12.75">
      <c r="A44" s="137"/>
      <c r="B44" s="138"/>
      <c r="C44" s="2" t="s">
        <v>69</v>
      </c>
      <c r="D44" s="1">
        <v>267</v>
      </c>
      <c r="E44" s="12">
        <f t="shared" si="5"/>
        <v>20.705608147130533</v>
      </c>
      <c r="F44" s="13">
        <f>(1.379*[2]!HEX2DEC(D44)+513)/J44</f>
        <v>5580.380650055961</v>
      </c>
      <c r="G44" s="1" t="s">
        <v>31</v>
      </c>
      <c r="H44" s="12">
        <v>27.8</v>
      </c>
      <c r="I44" s="13">
        <f>(1.379*[2]!HEX2DEC(G44)+513)/J44</f>
        <v>5535.15</v>
      </c>
      <c r="J44" s="16">
        <f>(1.379*[2]!HEX2DEC(G44)+513)/((H44*19.25)+5000)</f>
        <v>0.2439054045509155</v>
      </c>
      <c r="K44" s="14">
        <v>30.87</v>
      </c>
      <c r="L44" s="14">
        <f t="shared" si="6"/>
        <v>-3.0700000000000003</v>
      </c>
      <c r="M44" s="12">
        <f t="shared" si="3"/>
        <v>5594.2475</v>
      </c>
      <c r="N44" s="12">
        <f t="shared" si="7"/>
        <v>59.097500000000764</v>
      </c>
      <c r="O44" s="12">
        <v>35</v>
      </c>
      <c r="P44" s="1" t="str">
        <f>[2]!DEC2HEX((J44*(5000+19.5*(O44+5))-513)/1.379)</f>
        <v>28A</v>
      </c>
      <c r="Q44" s="1" t="str">
        <f>[2]!DEC2HEX((J44*(5000+19.5*(H44+5))-513)/1.379)</f>
        <v>271</v>
      </c>
      <c r="R44" s="1" t="str">
        <f>[2]!DEC2HEX((J44*(5000+19.5*(H44-5))-513)/1.379)</f>
        <v>24E</v>
      </c>
      <c r="S44" s="12">
        <f t="shared" si="8"/>
        <v>27.79999999999998</v>
      </c>
      <c r="W44" s="4">
        <v>5.16</v>
      </c>
      <c r="Y44" s="25">
        <f>[2]!HEX2DEC(P44)</f>
        <v>650</v>
      </c>
      <c r="Z44" s="18">
        <f>1.379*[2]!HEX2DEC(P44)+513</f>
        <v>1409.35</v>
      </c>
      <c r="AA44" s="1"/>
    </row>
    <row r="45" spans="1:27" ht="12.75">
      <c r="A45" s="137"/>
      <c r="B45" s="139" t="s">
        <v>61</v>
      </c>
      <c r="C45" s="2" t="s">
        <v>64</v>
      </c>
      <c r="D45" s="1" t="s">
        <v>3</v>
      </c>
      <c r="E45" s="12">
        <f t="shared" si="5"/>
        <v>18.90372575585593</v>
      </c>
      <c r="F45" s="13">
        <f>(1.379*[2]!HEX2DEC(D45)+513)/J45</f>
        <v>6006.3493893649575</v>
      </c>
      <c r="G45" s="1">
        <v>264</v>
      </c>
      <c r="H45" s="12">
        <v>27.2</v>
      </c>
      <c r="I45" s="13">
        <f>(1.379*[2]!HEX2DEC(G45)+513)/J45</f>
        <v>5523.6</v>
      </c>
      <c r="J45" s="16">
        <f>(1.379*[2]!HEX2DEC(G45)+513)/((H45*19.25)+5000)</f>
        <v>0.24566369758852918</v>
      </c>
      <c r="K45" s="14">
        <v>31.3</v>
      </c>
      <c r="L45" s="14">
        <f t="shared" si="6"/>
        <v>-4.100000000000001</v>
      </c>
      <c r="M45" s="12">
        <f t="shared" si="3"/>
        <v>5602.525000000001</v>
      </c>
      <c r="N45" s="12">
        <f t="shared" si="7"/>
        <v>78.92500000000018</v>
      </c>
      <c r="O45" s="12">
        <v>35</v>
      </c>
      <c r="P45" s="1" t="str">
        <f>[2]!DEC2HEX((J45*(5000+19.5*(O45+5))-513)/1.379)</f>
        <v>291</v>
      </c>
      <c r="Q45" s="1" t="str">
        <f>[2]!DEC2HEX((J45*(5000+19.5*(H45+5))-513)/1.379)</f>
        <v>276</v>
      </c>
      <c r="R45" s="1" t="str">
        <f>[2]!DEC2HEX((J45*(5000+19.5*(H45-5))-513)/1.379)</f>
        <v>253</v>
      </c>
      <c r="S45" s="12">
        <f t="shared" si="8"/>
        <v>27.20000000000002</v>
      </c>
      <c r="W45" s="4">
        <v>5</v>
      </c>
      <c r="Y45" s="25">
        <f>[2]!HEX2DEC(P45)</f>
        <v>657</v>
      </c>
      <c r="Z45" s="18">
        <f>1.379*[2]!HEX2DEC(P45)+513</f>
        <v>1419.0030000000002</v>
      </c>
      <c r="AA45" s="1"/>
    </row>
    <row r="46" spans="1:27" s="18" customFormat="1" ht="12.75">
      <c r="A46" s="137"/>
      <c r="B46" s="139"/>
      <c r="C46" s="18" t="s">
        <v>65</v>
      </c>
      <c r="D46" s="20">
        <v>266</v>
      </c>
      <c r="E46" s="12">
        <f t="shared" si="5"/>
        <v>21.525139173265416</v>
      </c>
      <c r="F46" s="13">
        <f>(1.379*[2]!HEX2DEC(D46)+513)/J46</f>
        <v>5398.376113591627</v>
      </c>
      <c r="G46" s="20">
        <v>299</v>
      </c>
      <c r="H46" s="21">
        <v>35.2</v>
      </c>
      <c r="I46" s="13">
        <f>(1.379*[2]!HEX2DEC(G46)+513)/J46</f>
        <v>5677.6</v>
      </c>
      <c r="J46" s="16">
        <f>(1.379*[2]!HEX2DEC(G46)+513)/((H46*19.25)+5000)</f>
        <v>0.2518731506270255</v>
      </c>
      <c r="K46" s="22">
        <v>41.2</v>
      </c>
      <c r="L46" s="22">
        <v>0</v>
      </c>
      <c r="M46" s="12">
        <v>5428</v>
      </c>
      <c r="N46" s="12">
        <f t="shared" si="7"/>
        <v>-249.60000000000036</v>
      </c>
      <c r="O46" s="12">
        <v>35</v>
      </c>
      <c r="P46" s="1" t="str">
        <f>[2]!DEC2HEX((J46*(5000+19.5*(O46+5))-513)/1.379)</f>
        <v>2AB</v>
      </c>
      <c r="Q46" s="1" t="str">
        <f>[2]!DEC2HEX((J46*(5000+19.5*(H46+5))-513)/1.379)</f>
        <v>2AC</v>
      </c>
      <c r="R46" s="1" t="str">
        <f>[2]!DEC2HEX((J46*(5000+19.5*(H46-5))-513)/1.379)</f>
        <v>288</v>
      </c>
      <c r="S46" s="21">
        <f t="shared" si="8"/>
        <v>35.20000000000002</v>
      </c>
      <c r="W46" s="24">
        <v>5.41</v>
      </c>
      <c r="Y46" s="25">
        <f>[2]!HEX2DEC(P46)</f>
        <v>683</v>
      </c>
      <c r="Z46" s="18">
        <f>1.379*[2]!HEX2DEC(P46)+513</f>
        <v>1454.857</v>
      </c>
      <c r="AA46" s="20"/>
    </row>
    <row r="47" spans="1:27" ht="12.75">
      <c r="A47" s="137"/>
      <c r="B47" s="139"/>
      <c r="C47" s="2" t="s">
        <v>66</v>
      </c>
      <c r="D47" s="1">
        <v>290</v>
      </c>
      <c r="E47" s="12">
        <f t="shared" si="5"/>
        <v>19.97481007270642</v>
      </c>
      <c r="F47" s="13">
        <f>(1.379*[2]!HEX2DEC(D47)+513)/J47</f>
        <v>5748.747834140034</v>
      </c>
      <c r="G47" s="1">
        <v>270</v>
      </c>
      <c r="H47" s="12">
        <v>29.6</v>
      </c>
      <c r="I47" s="13">
        <f>(1.379*[2]!HEX2DEC(G47)+513)/J47</f>
        <v>5569.8</v>
      </c>
      <c r="J47" s="16">
        <f>(1.379*[2]!HEX2DEC(G47)+513)/((H47*19.25)+5000)</f>
        <v>0.246597005278466</v>
      </c>
      <c r="K47" s="14">
        <v>32.6</v>
      </c>
      <c r="L47" s="14">
        <f t="shared" si="6"/>
        <v>-3</v>
      </c>
      <c r="M47" s="12">
        <f t="shared" si="3"/>
        <v>5627.55</v>
      </c>
      <c r="N47" s="12">
        <f t="shared" si="7"/>
        <v>57.75</v>
      </c>
      <c r="O47" s="12">
        <v>35</v>
      </c>
      <c r="P47" s="1" t="str">
        <f>[2]!DEC2HEX((J47*(5000+19.5*(O47+5))-513)/1.379)</f>
        <v>295</v>
      </c>
      <c r="Q47" s="1" t="str">
        <f>[2]!DEC2HEX((J47*(5000+19.5*(H47+5))-513)/1.379)</f>
        <v>282</v>
      </c>
      <c r="R47" s="1" t="str">
        <f>[2]!DEC2HEX((J47*(5000+19.5*(H47-5))-513)/1.379)</f>
        <v>25F</v>
      </c>
      <c r="S47" s="12">
        <f t="shared" si="8"/>
        <v>29.60000000000001</v>
      </c>
      <c r="Y47" s="25">
        <f>[2]!HEX2DEC(P47)</f>
        <v>661</v>
      </c>
      <c r="Z47" s="18">
        <f>1.379*[2]!HEX2DEC(P47)+513</f>
        <v>1424.519</v>
      </c>
      <c r="AA47" s="1"/>
    </row>
    <row r="48" spans="1:27" ht="12.75">
      <c r="A48" s="137"/>
      <c r="B48" s="139"/>
      <c r="C48" s="2" t="s">
        <v>67</v>
      </c>
      <c r="D48" s="1" t="s">
        <v>4</v>
      </c>
      <c r="E48" s="12">
        <f t="shared" si="5"/>
        <v>21.240691249531494</v>
      </c>
      <c r="F48" s="13">
        <f>(1.379*[2]!HEX2DEC(D48)+513)/J48</f>
        <v>5460.750434837966</v>
      </c>
      <c r="G48" s="1" t="s">
        <v>16</v>
      </c>
      <c r="H48" s="12">
        <v>28</v>
      </c>
      <c r="I48" s="13">
        <f>(1.379*[2]!HEX2DEC(G48)+513)/J48</f>
        <v>5539</v>
      </c>
      <c r="J48" s="16">
        <f>(1.379*[2]!HEX2DEC(G48)+513)/((H48*19.25)+5000)</f>
        <v>0.24672341577902152</v>
      </c>
      <c r="K48" s="14">
        <v>31.6</v>
      </c>
      <c r="L48" s="14">
        <f t="shared" si="6"/>
        <v>-3.6000000000000014</v>
      </c>
      <c r="M48" s="12">
        <f t="shared" si="3"/>
        <v>5608.3</v>
      </c>
      <c r="N48" s="12">
        <f t="shared" si="7"/>
        <v>69.30000000000018</v>
      </c>
      <c r="O48" s="12">
        <v>35</v>
      </c>
      <c r="P48" s="1" t="str">
        <f>[2]!DEC2HEX((J48*(5000+19.5*(O48+5))-513)/1.379)</f>
        <v>296</v>
      </c>
      <c r="Q48" s="1" t="str">
        <f>[2]!DEC2HEX((J48*(5000+19.5*(H48+5))-513)/1.379)</f>
        <v>27D</v>
      </c>
      <c r="R48" s="1" t="str">
        <f>[2]!DEC2HEX((J48*(5000+19.5*(H48-5))-513)/1.379)</f>
        <v>25A</v>
      </c>
      <c r="S48" s="12">
        <f t="shared" si="8"/>
        <v>28</v>
      </c>
      <c r="W48" s="4">
        <v>5.1</v>
      </c>
      <c r="Y48" s="25">
        <f>[2]!HEX2DEC(P48)</f>
        <v>662</v>
      </c>
      <c r="Z48" s="18">
        <f>1.379*[2]!HEX2DEC(P48)+513</f>
        <v>1425.8980000000001</v>
      </c>
      <c r="AA48" s="1"/>
    </row>
    <row r="49" spans="1:27" ht="12.75">
      <c r="A49" s="137"/>
      <c r="B49" s="139"/>
      <c r="C49" s="2" t="s">
        <v>68</v>
      </c>
      <c r="D49" s="1" t="s">
        <v>5</v>
      </c>
      <c r="E49" s="12">
        <f t="shared" si="5"/>
        <v>19.06655899032546</v>
      </c>
      <c r="F49" s="13">
        <f>(1.379*[2]!HEX2DEC(D49)+513)/J49</f>
        <v>5966.33193742511</v>
      </c>
      <c r="G49" s="1">
        <v>261</v>
      </c>
      <c r="H49" s="12">
        <v>27.1</v>
      </c>
      <c r="I49" s="13">
        <f>(1.379*[2]!HEX2DEC(G49)+513)/J49</f>
        <v>5521.675</v>
      </c>
      <c r="J49" s="16">
        <f>(1.379*[2]!HEX2DEC(G49)+513)/((H49*19.25)+5000)</f>
        <v>0.245000113190291</v>
      </c>
      <c r="K49" s="14">
        <v>30.24</v>
      </c>
      <c r="L49" s="14">
        <f t="shared" si="6"/>
        <v>-3.139999999999997</v>
      </c>
      <c r="M49" s="12">
        <f t="shared" si="3"/>
        <v>5582.12</v>
      </c>
      <c r="N49" s="12">
        <f t="shared" si="7"/>
        <v>60.44499999999971</v>
      </c>
      <c r="O49" s="12">
        <v>35</v>
      </c>
      <c r="P49" s="1" t="str">
        <f>[2]!DEC2HEX((J49*(5000+19.5*(O49+5))-513)/1.379)</f>
        <v>28E</v>
      </c>
      <c r="Q49" s="1" t="str">
        <f>[2]!DEC2HEX((J49*(5000+19.5*(H49+5))-513)/1.379)</f>
        <v>273</v>
      </c>
      <c r="R49" s="1" t="str">
        <f>[2]!DEC2HEX((J49*(5000+19.5*(H49-5))-513)/1.379)</f>
        <v>250</v>
      </c>
      <c r="S49" s="12">
        <f t="shared" si="8"/>
        <v>27.10000000000001</v>
      </c>
      <c r="W49" s="4">
        <v>5.3</v>
      </c>
      <c r="Y49" s="25">
        <f>[2]!HEX2DEC(P49)</f>
        <v>654</v>
      </c>
      <c r="Z49" s="18">
        <f>1.379*[2]!HEX2DEC(P49)+513</f>
        <v>1414.866</v>
      </c>
      <c r="AA49" s="1"/>
    </row>
    <row r="50" spans="1:27" ht="12.75">
      <c r="A50" s="137"/>
      <c r="B50" s="139"/>
      <c r="C50" s="2" t="s">
        <v>69</v>
      </c>
      <c r="D50" s="1" t="s">
        <v>6</v>
      </c>
      <c r="E50" s="12">
        <f t="shared" si="5"/>
        <v>19.9054316045536</v>
      </c>
      <c r="F50" s="13">
        <f>(1.379*[2]!HEX2DEC(D50)+513)/J50</f>
        <v>5765.037902323961</v>
      </c>
      <c r="G50" s="1">
        <v>265</v>
      </c>
      <c r="H50" s="12">
        <v>28.9</v>
      </c>
      <c r="I50" s="13">
        <f>(1.379*[2]!HEX2DEC(G50)+513)/J50</f>
        <v>5556.325</v>
      </c>
      <c r="J50" s="16">
        <f>(1.379*[2]!HEX2DEC(G50)+513)/((H50*19.25)+5000)</f>
        <v>0.2444650015972788</v>
      </c>
      <c r="K50" s="14">
        <v>32.47</v>
      </c>
      <c r="L50" s="14">
        <f t="shared" si="6"/>
        <v>-3.5700000000000003</v>
      </c>
      <c r="M50" s="12">
        <f t="shared" si="3"/>
        <v>5625.047500000001</v>
      </c>
      <c r="N50" s="12">
        <f t="shared" si="7"/>
        <v>68.72250000000076</v>
      </c>
      <c r="O50" s="12">
        <v>35</v>
      </c>
      <c r="P50" s="1" t="str">
        <f>[2]!DEC2HEX((J50*(5000+19.5*(O50+5))-513)/1.379)</f>
        <v>28C</v>
      </c>
      <c r="Q50" s="1" t="str">
        <f>[2]!DEC2HEX((J50*(5000+19.5*(H50+5))-513)/1.379)</f>
        <v>277</v>
      </c>
      <c r="R50" s="1" t="str">
        <f>[2]!DEC2HEX((J50*(5000+19.5*(H50-5))-513)/1.379)</f>
        <v>254</v>
      </c>
      <c r="S50" s="12">
        <f t="shared" si="8"/>
        <v>28.89999999999999</v>
      </c>
      <c r="W50" s="4">
        <v>5.1</v>
      </c>
      <c r="Y50" s="25">
        <f>[2]!HEX2DEC(P50)</f>
        <v>652</v>
      </c>
      <c r="Z50" s="18">
        <f>1.379*[2]!HEX2DEC(P50)+513</f>
        <v>1412.108</v>
      </c>
      <c r="AA50" s="1"/>
    </row>
    <row r="51" spans="1:27" ht="12.75">
      <c r="A51" s="137">
        <v>4</v>
      </c>
      <c r="B51" s="138" t="s">
        <v>62</v>
      </c>
      <c r="C51" s="2" t="s">
        <v>64</v>
      </c>
      <c r="D51" s="1">
        <v>276</v>
      </c>
      <c r="E51" s="12">
        <f t="shared" si="5"/>
        <v>20.547888843900182</v>
      </c>
      <c r="F51" s="13">
        <f>(1.379*[2]!HEX2DEC(D51)+513)/J51</f>
        <v>5616.224659534496</v>
      </c>
      <c r="G51" s="1" t="s">
        <v>8</v>
      </c>
      <c r="H51" s="12">
        <v>29.1</v>
      </c>
      <c r="I51" s="13">
        <f>(1.379*[2]!HEX2DEC(G51)+513)/J51</f>
        <v>5560.175</v>
      </c>
      <c r="J51" s="16">
        <f>(1.379*[2]!HEX2DEC(G51)+513)/((H51*19.25)+5000)</f>
        <v>0.24603182453789674</v>
      </c>
      <c r="K51" s="14">
        <v>29.53</v>
      </c>
      <c r="L51" s="14">
        <f t="shared" si="6"/>
        <v>-0.4299999999999997</v>
      </c>
      <c r="M51" s="12">
        <f t="shared" si="3"/>
        <v>5568.452499999999</v>
      </c>
      <c r="N51" s="12">
        <f t="shared" si="7"/>
        <v>8.277499999999236</v>
      </c>
      <c r="O51" s="12">
        <v>35</v>
      </c>
      <c r="P51" s="1" t="str">
        <f>[2]!DEC2HEX((J51*(5000+19.5*(O51+5))-513)/1.379)</f>
        <v>293</v>
      </c>
      <c r="Q51" s="1" t="str">
        <f>[2]!DEC2HEX((J51*(5000+19.5*(H51+5))-513)/1.379)</f>
        <v>27E</v>
      </c>
      <c r="R51" s="1" t="str">
        <f>[2]!DEC2HEX((J51*(5000+19.5*(H51-5))-513)/1.379)</f>
        <v>25B</v>
      </c>
      <c r="S51" s="12">
        <f t="shared" si="8"/>
        <v>29.10000000000001</v>
      </c>
      <c r="W51" s="4">
        <v>5.16</v>
      </c>
      <c r="Y51" s="25">
        <f>[2]!HEX2DEC(P51)</f>
        <v>659</v>
      </c>
      <c r="Z51" s="18">
        <f>1.379*[2]!HEX2DEC(P51)+513</f>
        <v>1421.761</v>
      </c>
      <c r="AA51" s="1"/>
    </row>
    <row r="52" spans="1:27" s="18" customFormat="1" ht="12.75">
      <c r="A52" s="137"/>
      <c r="B52" s="138"/>
      <c r="C52" s="18" t="s">
        <v>65</v>
      </c>
      <c r="D52" s="20">
        <v>279</v>
      </c>
      <c r="E52" s="21">
        <f t="shared" si="5"/>
        <v>19.395098948349812</v>
      </c>
      <c r="F52" s="13">
        <f>(1.379*[2]!HEX2DEC(D52)+513)/J52</f>
        <v>5886.534097123847</v>
      </c>
      <c r="G52" s="20">
        <v>255</v>
      </c>
      <c r="H52" s="21">
        <v>35.1</v>
      </c>
      <c r="I52" s="13">
        <f>(1.379*[2]!HEX2DEC(G52)+513)/J52</f>
        <v>5675.675</v>
      </c>
      <c r="J52" s="16">
        <f>(1.379*[2]!HEX2DEC(G52)+513)/((H52*19.25)+5000)</f>
        <v>0.23543684231390977</v>
      </c>
      <c r="K52" s="22">
        <v>35.32</v>
      </c>
      <c r="L52" s="22">
        <f t="shared" si="6"/>
        <v>-0.21999999999999886</v>
      </c>
      <c r="M52" s="12">
        <f t="shared" si="3"/>
        <v>5679.91</v>
      </c>
      <c r="N52" s="12">
        <f t="shared" si="7"/>
        <v>4.234999999999673</v>
      </c>
      <c r="O52" s="12">
        <v>35</v>
      </c>
      <c r="P52" s="1" t="str">
        <f>[2]!DEC2HEX((J52*(5000+19.5*(O52+5))-513)/1.379)</f>
        <v>266</v>
      </c>
      <c r="Q52" s="1" t="str">
        <f>[2]!DEC2HEX((J52*(5000+19.5*(H52+5))-513)/1.379)</f>
        <v>267</v>
      </c>
      <c r="R52" s="1" t="str">
        <f>[2]!DEC2HEX((J52*(5000+19.5*(H52-5))-513)/1.379)</f>
        <v>245</v>
      </c>
      <c r="S52" s="21">
        <f t="shared" si="8"/>
        <v>35.10000000000001</v>
      </c>
      <c r="T52" s="18" t="s">
        <v>462</v>
      </c>
      <c r="W52" s="24">
        <v>5.17</v>
      </c>
      <c r="Y52" s="25">
        <f>[2]!HEX2DEC(P52)</f>
        <v>614</v>
      </c>
      <c r="Z52" s="18">
        <f>1.379*[2]!HEX2DEC(P52)+513</f>
        <v>1359.7060000000001</v>
      </c>
      <c r="AA52" s="20"/>
    </row>
    <row r="53" spans="1:27" ht="12.75">
      <c r="A53" s="137"/>
      <c r="B53" s="138"/>
      <c r="C53" s="2" t="s">
        <v>66</v>
      </c>
      <c r="D53" s="1">
        <v>258</v>
      </c>
      <c r="E53" s="12">
        <f t="shared" si="5"/>
        <v>21.223253412368933</v>
      </c>
      <c r="F53" s="13">
        <f>(1.379*[2]!HEX2DEC(D53)+513)/J53</f>
        <v>5464.601548711986</v>
      </c>
      <c r="G53" s="1">
        <v>269</v>
      </c>
      <c r="H53" s="12">
        <v>29.1</v>
      </c>
      <c r="I53" s="13">
        <f>(1.379*[2]!HEX2DEC(G53)+513)/J53</f>
        <v>5560.175</v>
      </c>
      <c r="J53" s="16">
        <f>(1.379*[2]!HEX2DEC(G53)+513)/((H53*19.25)+5000)</f>
        <v>0.2452877832082623</v>
      </c>
      <c r="K53" s="14">
        <v>29.49</v>
      </c>
      <c r="L53" s="14">
        <f t="shared" si="6"/>
        <v>-0.389999999999997</v>
      </c>
      <c r="M53" s="12">
        <f t="shared" si="3"/>
        <v>5567.6825</v>
      </c>
      <c r="N53" s="12">
        <f t="shared" si="7"/>
        <v>7.507499999999709</v>
      </c>
      <c r="O53" s="12">
        <v>35</v>
      </c>
      <c r="P53" s="1" t="str">
        <f>[2]!DEC2HEX((J53*(5000+19.5*(O53+5))-513)/1.379)</f>
        <v>290</v>
      </c>
      <c r="Q53" s="1" t="str">
        <f>[2]!DEC2HEX((J53*(5000+19.5*(H53+5))-513)/1.379)</f>
        <v>27B</v>
      </c>
      <c r="R53" s="1" t="str">
        <f>[2]!DEC2HEX((J53*(5000+19.5*(H53-5))-513)/1.379)</f>
        <v>258</v>
      </c>
      <c r="S53" s="12">
        <f t="shared" si="8"/>
        <v>29.10000000000001</v>
      </c>
      <c r="W53" s="4">
        <v>5.36</v>
      </c>
      <c r="Y53" s="25">
        <f>[2]!HEX2DEC(P53)</f>
        <v>656</v>
      </c>
      <c r="Z53" s="18">
        <f>1.379*[2]!HEX2DEC(P53)+513</f>
        <v>1417.624</v>
      </c>
      <c r="AA53" s="1"/>
    </row>
    <row r="54" spans="1:27" ht="12.75">
      <c r="A54" s="137"/>
      <c r="B54" s="138"/>
      <c r="C54" s="2" t="s">
        <v>67</v>
      </c>
      <c r="D54" s="1">
        <v>210</v>
      </c>
      <c r="E54" s="12">
        <f t="shared" si="5"/>
        <v>23.186824081893633</v>
      </c>
      <c r="F54" s="13">
        <f>(1.379*[2]!HEX2DEC(D54)+513)/J54</f>
        <v>5050.203154541487</v>
      </c>
      <c r="G54" s="1" t="s">
        <v>1</v>
      </c>
      <c r="H54" s="12">
        <v>30.3</v>
      </c>
      <c r="I54" s="13">
        <f>(1.379*[2]!HEX2DEC(G54)+513)/J54</f>
        <v>5583.275</v>
      </c>
      <c r="J54" s="16">
        <f>(1.379*[2]!HEX2DEC(G54)+513)/((H54*19.25)+5000)</f>
        <v>0.24575486609561592</v>
      </c>
      <c r="K54" s="14">
        <v>30.26</v>
      </c>
      <c r="L54" s="14">
        <f t="shared" si="6"/>
        <v>0.03999999999999915</v>
      </c>
      <c r="M54" s="12">
        <f t="shared" si="3"/>
        <v>5582.505</v>
      </c>
      <c r="N54" s="12">
        <f t="shared" si="7"/>
        <v>-0.7699999999995271</v>
      </c>
      <c r="O54" s="12">
        <v>35</v>
      </c>
      <c r="P54" s="1" t="str">
        <f>[2]!DEC2HEX((J54*(5000+19.5*(O54+5))-513)/1.379)</f>
        <v>292</v>
      </c>
      <c r="Q54" s="1" t="str">
        <f>[2]!DEC2HEX((J54*(5000+19.5*(H54+5))-513)/1.379)</f>
        <v>281</v>
      </c>
      <c r="R54" s="1" t="str">
        <f>[2]!DEC2HEX((J54*(5000+19.5*(H54-5))-513)/1.379)</f>
        <v>25E</v>
      </c>
      <c r="S54" s="12">
        <f t="shared" si="8"/>
        <v>30.29999999999998</v>
      </c>
      <c r="W54" s="4">
        <v>5.14</v>
      </c>
      <c r="Y54" s="25">
        <f>[2]!HEX2DEC(P54)</f>
        <v>658</v>
      </c>
      <c r="Z54" s="18">
        <f>1.379*[2]!HEX2DEC(P54)+513</f>
        <v>1420.382</v>
      </c>
      <c r="AA54" s="1"/>
    </row>
    <row r="55" spans="1:27" s="18" customFormat="1" ht="12.75">
      <c r="A55" s="137"/>
      <c r="B55" s="138"/>
      <c r="C55" s="18" t="s">
        <v>68</v>
      </c>
      <c r="D55" s="20" t="s">
        <v>8</v>
      </c>
      <c r="E55" s="21">
        <f t="shared" si="5"/>
        <v>14.446729260983489</v>
      </c>
      <c r="F55" s="13">
        <f>(1.379*[2]!HEX2DEC(D55)+513)/J55</f>
        <v>7233.562611503207</v>
      </c>
      <c r="G55" s="20" t="s">
        <v>32</v>
      </c>
      <c r="H55" s="21">
        <v>30.8</v>
      </c>
      <c r="I55" s="13">
        <f>(1.379*[2]!HEX2DEC(G55)+513)/J55</f>
        <v>5592.9</v>
      </c>
      <c r="J55" s="16">
        <f>(1.379*[2]!HEX2DEC(G55)+513)/((H55*19.25)+5000)</f>
        <v>0.18911566450320944</v>
      </c>
      <c r="K55" s="22">
        <v>31.07</v>
      </c>
      <c r="L55" s="22">
        <f t="shared" si="6"/>
        <v>-0.2699999999999996</v>
      </c>
      <c r="M55" s="12">
        <f t="shared" si="3"/>
        <v>5598.0975</v>
      </c>
      <c r="N55" s="12">
        <f t="shared" si="7"/>
        <v>5.197500000000218</v>
      </c>
      <c r="O55" s="12">
        <v>35</v>
      </c>
      <c r="P55" s="1" t="str">
        <f>[2]!DEC2HEX((J55*(5000+19.5*(O55+5))-513)/1.379)</f>
        <v>1A4</v>
      </c>
      <c r="Q55" s="1" t="str">
        <f>[2]!DEC2HEX((J55*(5000+19.5*(H55+5))-513)/1.379)</f>
        <v>199</v>
      </c>
      <c r="R55" s="1" t="str">
        <f>[2]!DEC2HEX((J55*(5000+19.5*(H55-5))-513)/1.379)</f>
        <v>17E</v>
      </c>
      <c r="S55" s="21">
        <f t="shared" si="8"/>
        <v>30.79999999999998</v>
      </c>
      <c r="W55" s="24">
        <v>4.55</v>
      </c>
      <c r="Y55" s="25">
        <f>[2]!HEX2DEC(P55)</f>
        <v>420</v>
      </c>
      <c r="Z55" s="18">
        <f>1.379*[2]!HEX2DEC(P55)+513</f>
        <v>1092.1799999999998</v>
      </c>
      <c r="AA55" s="20"/>
    </row>
    <row r="56" spans="1:27" ht="12.75">
      <c r="A56" s="137"/>
      <c r="B56" s="138"/>
      <c r="C56" s="2" t="s">
        <v>69</v>
      </c>
      <c r="D56" s="1">
        <v>266</v>
      </c>
      <c r="E56" s="12">
        <f t="shared" si="5"/>
        <v>20.73535600138564</v>
      </c>
      <c r="F56" s="13">
        <f>(1.379*[2]!HEX2DEC(D56)+513)/J56</f>
        <v>5573.65</v>
      </c>
      <c r="G56" s="1">
        <v>266</v>
      </c>
      <c r="H56" s="12">
        <v>29.8</v>
      </c>
      <c r="I56" s="13">
        <f>(1.379*[2]!HEX2DEC(G56)+513)/J56</f>
        <v>5573.65</v>
      </c>
      <c r="J56" s="16">
        <f>(1.379*[2]!HEX2DEC(G56)+513)/((H56*19.25)+5000)</f>
        <v>0.2439525266207961</v>
      </c>
      <c r="K56" s="14">
        <v>30.02</v>
      </c>
      <c r="L56" s="14">
        <f t="shared" si="6"/>
        <v>-0.21999999999999886</v>
      </c>
      <c r="M56" s="12">
        <f t="shared" si="3"/>
        <v>5577.885</v>
      </c>
      <c r="N56" s="12">
        <f t="shared" si="7"/>
        <v>4.235000000000582</v>
      </c>
      <c r="O56" s="12">
        <v>35</v>
      </c>
      <c r="P56" s="1" t="str">
        <f>[2]!DEC2HEX((J56*(5000+19.5*(O56+5))-513)/1.379)</f>
        <v>28A</v>
      </c>
      <c r="Q56" s="1" t="str">
        <f>[2]!DEC2HEX((J56*(5000+19.5*(H56+5))-513)/1.379)</f>
        <v>278</v>
      </c>
      <c r="R56" s="1" t="str">
        <f>[2]!DEC2HEX((J56*(5000+19.5*(H56-5))-513)/1.379)</f>
        <v>256</v>
      </c>
      <c r="S56" s="12">
        <f t="shared" si="8"/>
        <v>29.79999999999998</v>
      </c>
      <c r="W56" s="4">
        <v>4.13</v>
      </c>
      <c r="Y56" s="25">
        <f>[2]!HEX2DEC(P56)</f>
        <v>650</v>
      </c>
      <c r="Z56" s="18">
        <f>1.379*[2]!HEX2DEC(P56)+513</f>
        <v>1409.35</v>
      </c>
      <c r="AA56" s="1"/>
    </row>
    <row r="57" spans="1:27" ht="12.75">
      <c r="A57" s="137"/>
      <c r="B57" s="139" t="s">
        <v>61</v>
      </c>
      <c r="C57" s="2" t="s">
        <v>64</v>
      </c>
      <c r="D57" s="1" t="s">
        <v>9</v>
      </c>
      <c r="E57" s="12">
        <f t="shared" si="5"/>
        <v>18.252630776920626</v>
      </c>
      <c r="F57" s="13">
        <f>(1.379*[2]!HEX2DEC(D57)+513)/J57</f>
        <v>6169.52188153282</v>
      </c>
      <c r="G57" s="1" t="s">
        <v>26</v>
      </c>
      <c r="H57" s="12">
        <v>27.4</v>
      </c>
      <c r="I57" s="13">
        <f>(1.379*[2]!HEX2DEC(G57)+513)/J57</f>
        <v>5527.45</v>
      </c>
      <c r="J57" s="16">
        <f>(1.379*[2]!HEX2DEC(G57)+513)/((H57*19.25)+5000)</f>
        <v>0.2469894797781979</v>
      </c>
      <c r="K57" s="14">
        <v>27.06</v>
      </c>
      <c r="L57" s="14">
        <f t="shared" si="6"/>
        <v>0.33999999999999986</v>
      </c>
      <c r="M57" s="12">
        <f t="shared" si="3"/>
        <v>5520.905000000001</v>
      </c>
      <c r="N57" s="12">
        <f t="shared" si="7"/>
        <v>-6.544999999999163</v>
      </c>
      <c r="O57" s="12">
        <v>35</v>
      </c>
      <c r="P57" s="1" t="str">
        <f>[2]!DEC2HEX((J57*(5000+19.5*(O57+5))-513)/1.379)</f>
        <v>297</v>
      </c>
      <c r="Q57" s="1" t="str">
        <f>[2]!DEC2HEX((J57*(5000+19.5*(H57+5))-513)/1.379)</f>
        <v>27C</v>
      </c>
      <c r="R57" s="1" t="str">
        <f>[2]!DEC2HEX((J57*(5000+19.5*(H57-5))-513)/1.379)</f>
        <v>259</v>
      </c>
      <c r="S57" s="12">
        <f t="shared" si="8"/>
        <v>27.39999999999999</v>
      </c>
      <c r="W57" s="9">
        <v>5.35</v>
      </c>
      <c r="Y57" s="25">
        <f>[2]!HEX2DEC(P57)</f>
        <v>663</v>
      </c>
      <c r="Z57" s="18">
        <f>1.379*[2]!HEX2DEC(P57)+513</f>
        <v>1427.277</v>
      </c>
      <c r="AA57" s="1"/>
    </row>
    <row r="58" spans="1:27" s="18" customFormat="1" ht="12.75">
      <c r="A58" s="137"/>
      <c r="B58" s="139"/>
      <c r="C58" s="125" t="s">
        <v>65</v>
      </c>
      <c r="D58" s="7" t="s">
        <v>7</v>
      </c>
      <c r="E58" s="21"/>
      <c r="F58" s="13" t="e">
        <f>(1.379*[2]!HEX2DEC(D58)+513)/J58</f>
        <v>#NUM!</v>
      </c>
      <c r="G58" s="20">
        <v>253</v>
      </c>
      <c r="H58" s="21">
        <v>21</v>
      </c>
      <c r="I58" s="13">
        <f>(1.379*[2]!HEX2DEC(G58)+513)/J58</f>
        <v>5404.25</v>
      </c>
      <c r="J58" s="16">
        <f>(1.379*[2]!HEX2DEC(G58)+513)/((H58*19.25)+5000)</f>
        <v>0.24675116806217331</v>
      </c>
      <c r="K58" s="22"/>
      <c r="L58" s="22"/>
      <c r="M58" s="12">
        <v>5424</v>
      </c>
      <c r="N58" s="12">
        <f t="shared" si="7"/>
        <v>19.75</v>
      </c>
      <c r="O58" s="12">
        <v>35</v>
      </c>
      <c r="P58" s="1" t="str">
        <f>[2]!DEC2HEX((J58*(5000+19.5*(O58+5))-513)/1.379)</f>
        <v>296</v>
      </c>
      <c r="Q58" s="1" t="str">
        <f>[2]!DEC2HEX((J58*(5000+19.5*(H58+5))-513)/1.379)</f>
        <v>265</v>
      </c>
      <c r="R58" s="1" t="str">
        <f>[2]!DEC2HEX((J58*(5000+19.5*(H58-5))-513)/1.379)</f>
        <v>242</v>
      </c>
      <c r="S58" s="21">
        <f t="shared" si="8"/>
        <v>21</v>
      </c>
      <c r="W58" s="24">
        <v>5.38</v>
      </c>
      <c r="Y58" s="25">
        <f>[2]!HEX2DEC(P58)</f>
        <v>662</v>
      </c>
      <c r="Z58" s="18">
        <f>1.379*[2]!HEX2DEC(P58)+513</f>
        <v>1425.8980000000001</v>
      </c>
      <c r="AA58" s="20"/>
    </row>
    <row r="59" spans="1:27" ht="12.75">
      <c r="A59" s="137"/>
      <c r="B59" s="139"/>
      <c r="C59" s="2" t="s">
        <v>66</v>
      </c>
      <c r="D59" s="1" t="s">
        <v>10</v>
      </c>
      <c r="E59" s="12">
        <f t="shared" si="5"/>
        <v>20.1620251795635</v>
      </c>
      <c r="F59" s="13">
        <f>(1.379*[2]!HEX2DEC(D59)+513)/J59</f>
        <v>5705.057172348049</v>
      </c>
      <c r="G59" s="1" t="s">
        <v>31</v>
      </c>
      <c r="H59" s="12">
        <v>28.1</v>
      </c>
      <c r="I59" s="13">
        <f>(1.379*[2]!HEX2DEC(G59)+513)/J59</f>
        <v>5540.925</v>
      </c>
      <c r="J59" s="16">
        <f>(1.379*[2]!HEX2DEC(G59)+513)/((H59*19.25)+5000)</f>
        <v>0.24365119542314684</v>
      </c>
      <c r="K59" s="14">
        <v>27.75</v>
      </c>
      <c r="L59" s="14">
        <f aca="true" t="shared" si="9" ref="L59:L90">H59-K59</f>
        <v>0.3500000000000014</v>
      </c>
      <c r="M59" s="12">
        <f t="shared" si="3"/>
        <v>5534.1875</v>
      </c>
      <c r="N59" s="12">
        <f t="shared" si="7"/>
        <v>-6.737500000000182</v>
      </c>
      <c r="O59" s="12">
        <v>35</v>
      </c>
      <c r="P59" s="1" t="str">
        <f>[2]!DEC2HEX((J59*(5000+19.5*(O59+5))-513)/1.379)</f>
        <v>289</v>
      </c>
      <c r="Q59" s="1" t="str">
        <f>[2]!DEC2HEX((J59*(5000+19.5*(H59+5))-513)/1.379)</f>
        <v>271</v>
      </c>
      <c r="R59" s="1" t="str">
        <f>[2]!DEC2HEX((J59*(5000+19.5*(H59-5))-513)/1.379)</f>
        <v>24F</v>
      </c>
      <c r="S59" s="12">
        <f t="shared" si="8"/>
        <v>28.10000000000001</v>
      </c>
      <c r="W59" s="4">
        <v>5.23</v>
      </c>
      <c r="Y59" s="25">
        <f>[2]!HEX2DEC(P59)</f>
        <v>649</v>
      </c>
      <c r="Z59" s="18">
        <f>1.379*[2]!HEX2DEC(P59)+513</f>
        <v>1407.971</v>
      </c>
      <c r="AA59" s="1"/>
    </row>
    <row r="60" spans="1:27" ht="12.75">
      <c r="A60" s="137"/>
      <c r="B60" s="139"/>
      <c r="C60" s="2" t="s">
        <v>67</v>
      </c>
      <c r="D60" s="1">
        <v>209</v>
      </c>
      <c r="E60" s="12">
        <f t="shared" si="5"/>
        <v>23.15478987840737</v>
      </c>
      <c r="F60" s="13">
        <f>(1.379*[2]!HEX2DEC(D60)+513)/J60</f>
        <v>5056.66243160286</v>
      </c>
      <c r="G60" s="1">
        <v>266</v>
      </c>
      <c r="H60" s="12">
        <v>30.3</v>
      </c>
      <c r="I60" s="13">
        <f>(1.379*[2]!HEX2DEC(G60)+513)/J60</f>
        <v>5583.275</v>
      </c>
      <c r="J60" s="16">
        <f>(1.379*[2]!HEX2DEC(G60)+513)/((H60*19.25)+5000)</f>
        <v>0.24353197719976183</v>
      </c>
      <c r="K60" s="14">
        <v>30.48</v>
      </c>
      <c r="L60" s="14">
        <f t="shared" si="9"/>
        <v>-0.17999999999999972</v>
      </c>
      <c r="M60" s="12">
        <f t="shared" si="3"/>
        <v>5586.74</v>
      </c>
      <c r="N60" s="12">
        <f t="shared" si="7"/>
        <v>3.4650000000001455</v>
      </c>
      <c r="O60" s="12">
        <v>35</v>
      </c>
      <c r="P60" s="1" t="str">
        <f>[2]!DEC2HEX((J60*(5000+19.5*(O60+5))-513)/1.379)</f>
        <v>288</v>
      </c>
      <c r="Q60" s="1" t="str">
        <f>[2]!DEC2HEX((J60*(5000+19.5*(H60+5))-513)/1.379)</f>
        <v>278</v>
      </c>
      <c r="R60" s="1" t="str">
        <f>[2]!DEC2HEX((J60*(5000+19.5*(H60-5))-513)/1.379)</f>
        <v>256</v>
      </c>
      <c r="S60" s="12">
        <f t="shared" si="8"/>
        <v>30.29999999999998</v>
      </c>
      <c r="W60" s="4">
        <v>5.24</v>
      </c>
      <c r="Y60" s="25">
        <f>[2]!HEX2DEC(P60)</f>
        <v>648</v>
      </c>
      <c r="Z60" s="18">
        <f>1.379*[2]!HEX2DEC(P60)+513</f>
        <v>1406.592</v>
      </c>
      <c r="AA60" s="1"/>
    </row>
    <row r="61" spans="1:27" s="18" customFormat="1" ht="12.75">
      <c r="A61" s="137"/>
      <c r="B61" s="139"/>
      <c r="C61" s="18" t="s">
        <v>68</v>
      </c>
      <c r="D61" s="20">
        <v>224</v>
      </c>
      <c r="E61" s="21">
        <f t="shared" si="5"/>
        <v>23.250465063522654</v>
      </c>
      <c r="F61" s="13">
        <f>(1.379*[2]!HEX2DEC(D61)+513)/J61</f>
        <v>5037.399384314719</v>
      </c>
      <c r="G61" s="20">
        <v>267</v>
      </c>
      <c r="H61" s="21">
        <v>21</v>
      </c>
      <c r="I61" s="13">
        <f>(1.379*[2]!HEX2DEC(G61)+513)/J61</f>
        <v>5404.25</v>
      </c>
      <c r="J61" s="16">
        <f>(1.379*[2]!HEX2DEC(G61)+513)/((H61*19.25)+5000)</f>
        <v>0.25185455891196745</v>
      </c>
      <c r="K61" s="22">
        <v>31.08</v>
      </c>
      <c r="L61" s="22">
        <f t="shared" si="9"/>
        <v>-10.079999999999998</v>
      </c>
      <c r="M61" s="12">
        <v>5554</v>
      </c>
      <c r="N61" s="12">
        <f t="shared" si="7"/>
        <v>149.75</v>
      </c>
      <c r="O61" s="12">
        <v>35</v>
      </c>
      <c r="P61" s="1" t="str">
        <f>[2]!DEC2HEX((J61*(5000+19.5*(O61+5))-513)/1.379)</f>
        <v>2AB</v>
      </c>
      <c r="Q61" s="1" t="str">
        <f>[2]!DEC2HEX((J61*(5000+19.5*(H61+5))-513)/1.379)</f>
        <v>279</v>
      </c>
      <c r="R61" s="1" t="str">
        <f>[2]!DEC2HEX((J61*(5000+19.5*(H61-5))-513)/1.379)</f>
        <v>256</v>
      </c>
      <c r="S61" s="21">
        <f t="shared" si="8"/>
        <v>21</v>
      </c>
      <c r="W61" s="24">
        <v>5.26</v>
      </c>
      <c r="Y61" s="25">
        <f>[2]!HEX2DEC(P61)</f>
        <v>683</v>
      </c>
      <c r="Z61" s="18">
        <f>1.379*[2]!HEX2DEC(P61)+513</f>
        <v>1454.857</v>
      </c>
      <c r="AA61" s="20"/>
    </row>
    <row r="62" spans="1:27" ht="12.75">
      <c r="A62" s="137"/>
      <c r="B62" s="139"/>
      <c r="C62" s="2" t="s">
        <v>69</v>
      </c>
      <c r="D62" s="1">
        <v>258</v>
      </c>
      <c r="E62" s="12">
        <f t="shared" si="5"/>
        <v>20.929792629345286</v>
      </c>
      <c r="F62" s="13">
        <f>(1.379*[2]!HEX2DEC(D62)+513)/J62</f>
        <v>5529.890181022249</v>
      </c>
      <c r="G62" s="1" t="s">
        <v>27</v>
      </c>
      <c r="H62" s="12">
        <v>29.3</v>
      </c>
      <c r="I62" s="13">
        <f>(1.379*[2]!HEX2DEC(G62)+513)/J62</f>
        <v>5564.025</v>
      </c>
      <c r="J62" s="16">
        <f>(1.379*[2]!HEX2DEC(G62)+513)/((H62*19.25)+5000)</f>
        <v>0.24239179371048838</v>
      </c>
      <c r="K62" s="14">
        <v>29.34</v>
      </c>
      <c r="L62" s="14">
        <f t="shared" si="9"/>
        <v>-0.03999999999999915</v>
      </c>
      <c r="M62" s="12">
        <f t="shared" si="3"/>
        <v>5564.795</v>
      </c>
      <c r="N62" s="12">
        <f t="shared" si="7"/>
        <v>0.7700000000004366</v>
      </c>
      <c r="O62" s="12">
        <v>35</v>
      </c>
      <c r="P62" s="1" t="str">
        <f>[2]!DEC2HEX((J62*(5000+19.5*(O62+5))-513)/1.379)</f>
        <v>283</v>
      </c>
      <c r="Q62" s="1" t="str">
        <f>[2]!DEC2HEX((J62*(5000+19.5*(H62+5))-513)/1.379)</f>
        <v>270</v>
      </c>
      <c r="R62" s="1" t="str">
        <f>[2]!DEC2HEX((J62*(5000+19.5*(H62-5))-513)/1.379)</f>
        <v>24E</v>
      </c>
      <c r="S62" s="12">
        <f t="shared" si="8"/>
        <v>29.29999999999998</v>
      </c>
      <c r="W62" s="4">
        <v>5.17</v>
      </c>
      <c r="Y62" s="25">
        <f>[2]!HEX2DEC(P62)</f>
        <v>643</v>
      </c>
      <c r="Z62" s="18">
        <f>1.379*[2]!HEX2DEC(P62)+513</f>
        <v>1399.6970000000001</v>
      </c>
      <c r="AA62" s="1"/>
    </row>
    <row r="63" spans="1:26" ht="12.75">
      <c r="A63" s="137">
        <v>5</v>
      </c>
      <c r="B63" s="138" t="s">
        <v>62</v>
      </c>
      <c r="C63" s="2" t="s">
        <v>64</v>
      </c>
      <c r="D63" s="1">
        <v>266</v>
      </c>
      <c r="E63" s="12">
        <f t="shared" si="5"/>
        <v>20.574580445323647</v>
      </c>
      <c r="F63" s="13">
        <f>(1.379*[2]!HEX2DEC(D63)+513)/J63</f>
        <v>5610.13974668839</v>
      </c>
      <c r="G63" s="1">
        <v>265</v>
      </c>
      <c r="H63" s="12">
        <v>31.4</v>
      </c>
      <c r="I63" s="13">
        <f>(1.379*[2]!HEX2DEC(G63)+513)/J63</f>
        <v>5604.45</v>
      </c>
      <c r="J63" s="16">
        <f>(1.379*[2]!HEX2DEC(G63)+513)/((H63*19.25)+5000)</f>
        <v>0.2423657986064645</v>
      </c>
      <c r="K63" s="14">
        <v>29.72</v>
      </c>
      <c r="L63" s="14">
        <f t="shared" si="9"/>
        <v>1.6799999999999997</v>
      </c>
      <c r="M63" s="12">
        <f t="shared" si="3"/>
        <v>5572.110000000001</v>
      </c>
      <c r="N63" s="12">
        <f t="shared" si="7"/>
        <v>-32.339999999999236</v>
      </c>
      <c r="O63" s="12">
        <v>35</v>
      </c>
      <c r="P63" s="1" t="str">
        <f>[2]!DEC2HEX((J63*(5000+19.5*(O63+5))-513)/1.379)</f>
        <v>283</v>
      </c>
      <c r="Q63" s="1" t="str">
        <f>[2]!DEC2HEX((J63*(5000+19.5*(H63+5))-513)/1.379)</f>
        <v>277</v>
      </c>
      <c r="R63" s="1" t="str">
        <f>[2]!DEC2HEX((J63*(5000+19.5*(H63-5))-513)/1.379)</f>
        <v>255</v>
      </c>
      <c r="S63" s="12">
        <f t="shared" si="8"/>
        <v>31.39999999999999</v>
      </c>
      <c r="W63" s="4">
        <v>4.81</v>
      </c>
      <c r="Y63" s="25">
        <f>[2]!HEX2DEC(P63)</f>
        <v>643</v>
      </c>
      <c r="Z63" s="18">
        <f>1.379*[2]!HEX2DEC(P63)+513</f>
        <v>1399.6970000000001</v>
      </c>
    </row>
    <row r="64" spans="1:26" ht="12.75">
      <c r="A64" s="137"/>
      <c r="B64" s="138"/>
      <c r="C64" s="2" t="s">
        <v>65</v>
      </c>
      <c r="D64" s="1" t="s">
        <v>21</v>
      </c>
      <c r="E64" s="12">
        <f t="shared" si="5"/>
        <v>20.609790260588056</v>
      </c>
      <c r="F64" s="13">
        <f>(1.379*[2]!HEX2DEC(D64)+513)/J64</f>
        <v>5602.1246997191665</v>
      </c>
      <c r="G64" s="1" t="s">
        <v>26</v>
      </c>
      <c r="H64" s="12">
        <v>30.4</v>
      </c>
      <c r="I64" s="13">
        <f>(1.379*[2]!HEX2DEC(G64)+513)/J64</f>
        <v>5585.2</v>
      </c>
      <c r="J64" s="16">
        <f>(1.379*[2]!HEX2DEC(G64)+513)/((H64*19.25)+5000)</f>
        <v>0.24443565136432</v>
      </c>
      <c r="K64" s="14">
        <v>28.65</v>
      </c>
      <c r="L64" s="14">
        <f t="shared" si="9"/>
        <v>1.75</v>
      </c>
      <c r="M64" s="12">
        <f t="shared" si="3"/>
        <v>5551.5125</v>
      </c>
      <c r="N64" s="12">
        <f t="shared" si="7"/>
        <v>-33.6875</v>
      </c>
      <c r="O64" s="12">
        <v>35</v>
      </c>
      <c r="P64" s="1" t="str">
        <f>[2]!DEC2HEX((J64*(5000+19.5*(O64+5))-513)/1.379)</f>
        <v>28C</v>
      </c>
      <c r="Q64" s="1" t="str">
        <f>[2]!DEC2HEX((J64*(5000+19.5*(H64+5))-513)/1.379)</f>
        <v>27C</v>
      </c>
      <c r="R64" s="1" t="str">
        <f>[2]!DEC2HEX((J64*(5000+19.5*(H64-5))-513)/1.379)</f>
        <v>25A</v>
      </c>
      <c r="S64" s="12">
        <f t="shared" si="8"/>
        <v>30.39999999999999</v>
      </c>
      <c r="W64" s="4">
        <v>5.2</v>
      </c>
      <c r="Y64" s="25">
        <f>[2]!HEX2DEC(P64)</f>
        <v>652</v>
      </c>
      <c r="Z64" s="18">
        <f>1.379*[2]!HEX2DEC(P64)+513</f>
        <v>1412.108</v>
      </c>
    </row>
    <row r="65" spans="1:26" ht="12.75">
      <c r="A65" s="137"/>
      <c r="B65" s="138"/>
      <c r="C65" s="2" t="s">
        <v>66</v>
      </c>
      <c r="D65" s="1">
        <v>260</v>
      </c>
      <c r="E65" s="12">
        <f t="shared" si="5"/>
        <v>20.82162341101713</v>
      </c>
      <c r="F65" s="13">
        <f>(1.379*[2]!HEX2DEC(D65)+513)/J65</f>
        <v>5554.184970719389</v>
      </c>
      <c r="G65" s="1" t="s">
        <v>27</v>
      </c>
      <c r="H65" s="12">
        <v>28.2</v>
      </c>
      <c r="I65" s="13">
        <f>(1.379*[2]!HEX2DEC(G65)+513)/J65</f>
        <v>5542.85</v>
      </c>
      <c r="J65" s="16">
        <f>(1.379*[2]!HEX2DEC(G65)+513)/((H65*19.25)+5000)</f>
        <v>0.24331778778065433</v>
      </c>
      <c r="K65" s="14">
        <v>28.72</v>
      </c>
      <c r="L65" s="14">
        <f t="shared" si="9"/>
        <v>-0.5199999999999996</v>
      </c>
      <c r="M65" s="12">
        <f t="shared" si="3"/>
        <v>5552.860000000001</v>
      </c>
      <c r="N65" s="12">
        <f t="shared" si="7"/>
        <v>10.010000000000218</v>
      </c>
      <c r="O65" s="12">
        <v>35</v>
      </c>
      <c r="P65" s="1" t="str">
        <f>[2]!DEC2HEX((J65*(5000+19.5*(O65+5))-513)/1.379)</f>
        <v>287</v>
      </c>
      <c r="Q65" s="1" t="str">
        <f>[2]!DEC2HEX((J65*(5000+19.5*(H65+5))-513)/1.379)</f>
        <v>270</v>
      </c>
      <c r="R65" s="1" t="str">
        <f>[2]!DEC2HEX((J65*(5000+19.5*(H65-5))-513)/1.379)</f>
        <v>24E</v>
      </c>
      <c r="S65" s="12">
        <f t="shared" si="8"/>
        <v>28.20000000000002</v>
      </c>
      <c r="W65" s="4">
        <v>5.31</v>
      </c>
      <c r="Y65" s="25">
        <f>[2]!HEX2DEC(P65)</f>
        <v>647</v>
      </c>
      <c r="Z65" s="18">
        <f>1.379*[2]!HEX2DEC(P65)+513</f>
        <v>1405.213</v>
      </c>
    </row>
    <row r="66" spans="1:26" ht="12.75">
      <c r="A66" s="137"/>
      <c r="B66" s="138"/>
      <c r="C66" s="2" t="s">
        <v>67</v>
      </c>
      <c r="D66" s="1" t="s">
        <v>22</v>
      </c>
      <c r="E66" s="12">
        <f t="shared" si="5"/>
        <v>22.01168789223641</v>
      </c>
      <c r="F66" s="13">
        <f>(1.379*[2]!HEX2DEC(D66)+513)/J66</f>
        <v>5293.603683289585</v>
      </c>
      <c r="G66" s="1" t="s">
        <v>17</v>
      </c>
      <c r="H66" s="12">
        <v>28.9</v>
      </c>
      <c r="I66" s="13">
        <f>(1.379*[2]!HEX2DEC(G66)+513)/J66</f>
        <v>5556.325</v>
      </c>
      <c r="J66" s="16">
        <f>(1.379*[2]!HEX2DEC(G66)+513)/((H66*19.25)+5000)</f>
        <v>0.24669867223389563</v>
      </c>
      <c r="K66" s="14">
        <v>29</v>
      </c>
      <c r="L66" s="14">
        <f t="shared" si="9"/>
        <v>-0.10000000000000142</v>
      </c>
      <c r="M66" s="12">
        <f t="shared" si="3"/>
        <v>5558.25</v>
      </c>
      <c r="N66" s="12">
        <f t="shared" si="7"/>
        <v>1.925000000000182</v>
      </c>
      <c r="O66" s="12">
        <v>35</v>
      </c>
      <c r="P66" s="1" t="str">
        <f>[2]!DEC2HEX((J66*(5000+19.5*(O66+5))-513)/1.379)</f>
        <v>296</v>
      </c>
      <c r="Q66" s="1" t="str">
        <f>[2]!DEC2HEX((J66*(5000+19.5*(H66+5))-513)/1.379)</f>
        <v>280</v>
      </c>
      <c r="R66" s="1" t="str">
        <f>[2]!DEC2HEX((J66*(5000+19.5*(H66-5))-513)/1.379)</f>
        <v>25D</v>
      </c>
      <c r="S66" s="12">
        <f t="shared" si="8"/>
        <v>28.89999999999999</v>
      </c>
      <c r="W66" s="4">
        <v>4.92</v>
      </c>
      <c r="Y66" s="25">
        <f>[2]!HEX2DEC(P66)</f>
        <v>662</v>
      </c>
      <c r="Z66" s="18">
        <f>1.379*[2]!HEX2DEC(P66)+513</f>
        <v>1425.8980000000001</v>
      </c>
    </row>
    <row r="67" spans="1:26" ht="12.75">
      <c r="A67" s="137"/>
      <c r="B67" s="138"/>
      <c r="C67" s="2" t="s">
        <v>68</v>
      </c>
      <c r="D67" s="1" t="s">
        <v>23</v>
      </c>
      <c r="E67" s="12">
        <f aca="true" t="shared" si="10" ref="E67:E98">(3500/(LN(F67/4700)+11.745))-273</f>
        <v>21.994678840140352</v>
      </c>
      <c r="F67" s="13">
        <f>(1.379*[2]!HEX2DEC(D67)+513)/J67</f>
        <v>5297.226069278348</v>
      </c>
      <c r="G67" s="1" t="s">
        <v>1</v>
      </c>
      <c r="H67" s="12">
        <v>30</v>
      </c>
      <c r="I67" s="13">
        <f>(1.379*[2]!HEX2DEC(G67)+513)/J67</f>
        <v>5577.5</v>
      </c>
      <c r="J67" s="16">
        <f>(1.379*[2]!HEX2DEC(G67)+513)/((H67*19.25)+5000)</f>
        <v>0.2460093231734648</v>
      </c>
      <c r="K67" s="14">
        <v>29.7</v>
      </c>
      <c r="L67" s="14">
        <f t="shared" si="9"/>
        <v>0.3000000000000007</v>
      </c>
      <c r="M67" s="12">
        <f t="shared" si="3"/>
        <v>5571.725</v>
      </c>
      <c r="N67" s="12">
        <f aca="true" t="shared" si="11" ref="N67:N98">M67-I67</f>
        <v>-5.774999999999636</v>
      </c>
      <c r="O67" s="12">
        <v>35</v>
      </c>
      <c r="P67" s="1" t="str">
        <f>[2]!DEC2HEX((J67*(5000+19.5*(O67+5))-513)/1.379)</f>
        <v>293</v>
      </c>
      <c r="Q67" s="1" t="str">
        <f>[2]!DEC2HEX((J67*(5000+19.5*(H67+5))-513)/1.379)</f>
        <v>281</v>
      </c>
      <c r="R67" s="1" t="str">
        <f>[2]!DEC2HEX((J67*(5000+19.5*(H67-5))-513)/1.379)</f>
        <v>25E</v>
      </c>
      <c r="S67" s="12">
        <f aca="true" t="shared" si="12" ref="S67:S98">(I67-5000)/19.25</f>
        <v>30</v>
      </c>
      <c r="W67" s="4">
        <v>5</v>
      </c>
      <c r="Y67" s="25">
        <f>[2]!HEX2DEC(P67)</f>
        <v>659</v>
      </c>
      <c r="Z67" s="18">
        <f>1.379*[2]!HEX2DEC(P67)+513</f>
        <v>1421.761</v>
      </c>
    </row>
    <row r="68" spans="1:26" ht="12.75">
      <c r="A68" s="137"/>
      <c r="B68" s="138"/>
      <c r="C68" s="2" t="s">
        <v>69</v>
      </c>
      <c r="D68" s="1" t="s">
        <v>24</v>
      </c>
      <c r="E68" s="12">
        <f t="shared" si="10"/>
        <v>21.240854221327027</v>
      </c>
      <c r="F68" s="13">
        <f>(1.379*[2]!HEX2DEC(D68)+513)/J68</f>
        <v>5460.7144577765</v>
      </c>
      <c r="G68" s="1">
        <v>268</v>
      </c>
      <c r="H68" s="12">
        <v>31.6</v>
      </c>
      <c r="I68" s="13">
        <f>(1.379*[2]!HEX2DEC(G68)+513)/J68</f>
        <v>5608.3</v>
      </c>
      <c r="J68" s="16">
        <f>(1.379*[2]!HEX2DEC(G68)+513)/((H68*19.25)+5000)</f>
        <v>0.24293707540609452</v>
      </c>
      <c r="K68" s="14">
        <v>31.56</v>
      </c>
      <c r="L68" s="14">
        <f t="shared" si="9"/>
        <v>0.0400000000000027</v>
      </c>
      <c r="M68" s="12">
        <f aca="true" t="shared" si="13" ref="M68:M131">(K68*3.85+1000)*5</f>
        <v>5607.530000000001</v>
      </c>
      <c r="N68" s="12">
        <f t="shared" si="11"/>
        <v>-0.7699999999995271</v>
      </c>
      <c r="O68" s="12">
        <v>35</v>
      </c>
      <c r="P68" s="1" t="str">
        <f>[2]!DEC2HEX((J68*(5000+19.5*(O68+5))-513)/1.379)</f>
        <v>286</v>
      </c>
      <c r="Q68" s="1" t="str">
        <f>[2]!DEC2HEX((J68*(5000+19.5*(H68+5))-513)/1.379)</f>
        <v>27A</v>
      </c>
      <c r="R68" s="1" t="str">
        <f>[2]!DEC2HEX((J68*(5000+19.5*(H68-5))-513)/1.379)</f>
        <v>258</v>
      </c>
      <c r="S68" s="12">
        <f t="shared" si="12"/>
        <v>31.60000000000001</v>
      </c>
      <c r="W68" s="4">
        <v>5.18</v>
      </c>
      <c r="Y68" s="25">
        <f>[2]!HEX2DEC(P68)</f>
        <v>646</v>
      </c>
      <c r="Z68" s="18">
        <f>1.379*[2]!HEX2DEC(P68)+513</f>
        <v>1403.8339999999998</v>
      </c>
    </row>
    <row r="69" spans="1:26" ht="12.75">
      <c r="A69" s="137"/>
      <c r="B69" s="139" t="s">
        <v>61</v>
      </c>
      <c r="C69" s="2" t="s">
        <v>64</v>
      </c>
      <c r="D69" s="1" t="s">
        <v>5</v>
      </c>
      <c r="E69" s="12">
        <f t="shared" si="10"/>
        <v>18.938469897318157</v>
      </c>
      <c r="F69" s="13">
        <f>(1.379*[2]!HEX2DEC(D69)+513)/J69</f>
        <v>5997.784545972946</v>
      </c>
      <c r="G69" s="1">
        <v>263</v>
      </c>
      <c r="H69" s="12">
        <v>29.2</v>
      </c>
      <c r="I69" s="13">
        <f>(1.379*[2]!HEX2DEC(G69)+513)/J69</f>
        <v>5562.1</v>
      </c>
      <c r="J69" s="16">
        <f>(1.379*[2]!HEX2DEC(G69)+513)/((H69*19.25)+5000)</f>
        <v>0.24371532334909474</v>
      </c>
      <c r="K69" s="14">
        <v>27.87</v>
      </c>
      <c r="L69" s="14">
        <f t="shared" si="9"/>
        <v>1.3299999999999983</v>
      </c>
      <c r="M69" s="12">
        <f t="shared" si="13"/>
        <v>5536.4975</v>
      </c>
      <c r="N69" s="12">
        <f t="shared" si="11"/>
        <v>-25.602499999999964</v>
      </c>
      <c r="O69" s="12">
        <v>35</v>
      </c>
      <c r="P69" s="1" t="str">
        <f>[2]!DEC2HEX((J69*(5000+19.5*(O69+5))-513)/1.379)</f>
        <v>289</v>
      </c>
      <c r="Q69" s="1" t="str">
        <f>[2]!DEC2HEX((J69*(5000+19.5*(H69+5))-513)/1.379)</f>
        <v>275</v>
      </c>
      <c r="R69" s="1" t="str">
        <f>[2]!DEC2HEX((J69*(5000+19.5*(H69-5))-513)/1.379)</f>
        <v>253</v>
      </c>
      <c r="S69" s="12">
        <f t="shared" si="12"/>
        <v>29.20000000000002</v>
      </c>
      <c r="W69" s="4">
        <v>4.99</v>
      </c>
      <c r="Y69" s="25">
        <f>[2]!HEX2DEC(P69)</f>
        <v>649</v>
      </c>
      <c r="Z69" s="18">
        <f>1.379*[2]!HEX2DEC(P69)+513</f>
        <v>1407.971</v>
      </c>
    </row>
    <row r="70" spans="1:26" ht="12.75">
      <c r="A70" s="137"/>
      <c r="B70" s="139"/>
      <c r="C70" s="2" t="s">
        <v>65</v>
      </c>
      <c r="D70" s="1" t="s">
        <v>25</v>
      </c>
      <c r="E70" s="12">
        <f t="shared" si="10"/>
        <v>18.31746617456315</v>
      </c>
      <c r="F70" s="13">
        <f>(1.379*[2]!HEX2DEC(D70)+513)/J70</f>
        <v>6153.043493753293</v>
      </c>
      <c r="G70" s="1">
        <v>260</v>
      </c>
      <c r="H70" s="12">
        <v>28.7</v>
      </c>
      <c r="I70" s="13">
        <f>(1.379*[2]!HEX2DEC(G70)+513)/J70</f>
        <v>5552.475</v>
      </c>
      <c r="J70" s="16">
        <f>(1.379*[2]!HEX2DEC(G70)+513)/((H70*19.25)+5000)</f>
        <v>0.24339272126394085</v>
      </c>
      <c r="K70" s="14">
        <v>28.28</v>
      </c>
      <c r="L70" s="14">
        <f t="shared" si="9"/>
        <v>0.41999999999999815</v>
      </c>
      <c r="M70" s="12">
        <f t="shared" si="13"/>
        <v>5544.389999999999</v>
      </c>
      <c r="N70" s="12">
        <f t="shared" si="11"/>
        <v>-8.085000000000946</v>
      </c>
      <c r="O70" s="12">
        <v>35</v>
      </c>
      <c r="P70" s="1" t="str">
        <f>[2]!DEC2HEX((J70*(5000+19.5*(O70+5))-513)/1.379)</f>
        <v>288</v>
      </c>
      <c r="Q70" s="1" t="str">
        <f>[2]!DEC2HEX((J70*(5000+19.5*(H70+5))-513)/1.379)</f>
        <v>272</v>
      </c>
      <c r="R70" s="1" t="str">
        <f>[2]!DEC2HEX((J70*(5000+19.5*(H70-5))-513)/1.379)</f>
        <v>250</v>
      </c>
      <c r="S70" s="12">
        <f t="shared" si="12"/>
        <v>28.70000000000002</v>
      </c>
      <c r="W70" s="4">
        <v>4.96</v>
      </c>
      <c r="Y70" s="25">
        <f>[2]!HEX2DEC(P70)</f>
        <v>648</v>
      </c>
      <c r="Z70" s="18">
        <f>1.379*[2]!HEX2DEC(P70)+513</f>
        <v>1406.592</v>
      </c>
    </row>
    <row r="71" spans="1:26" ht="12.75">
      <c r="A71" s="137"/>
      <c r="B71" s="139"/>
      <c r="C71" s="2" t="s">
        <v>66</v>
      </c>
      <c r="D71" s="1" t="s">
        <v>1</v>
      </c>
      <c r="E71" s="12">
        <f t="shared" si="10"/>
        <v>20.762503860193817</v>
      </c>
      <c r="F71" s="13">
        <f>(1.379*[2]!HEX2DEC(D71)+513)/J71</f>
        <v>5567.515888839231</v>
      </c>
      <c r="G71" s="1" t="s">
        <v>21</v>
      </c>
      <c r="H71" s="12">
        <v>28.9</v>
      </c>
      <c r="I71" s="13">
        <f>(1.379*[2]!HEX2DEC(G71)+513)/J71</f>
        <v>5556.325</v>
      </c>
      <c r="J71" s="16">
        <f>(1.379*[2]!HEX2DEC(G71)+513)/((H71*19.25)+5000)</f>
        <v>0.24645048660760485</v>
      </c>
      <c r="K71" s="14">
        <v>29.39</v>
      </c>
      <c r="L71" s="14">
        <f t="shared" si="9"/>
        <v>-0.490000000000002</v>
      </c>
      <c r="M71" s="12">
        <f t="shared" si="13"/>
        <v>5565.7575</v>
      </c>
      <c r="N71" s="12">
        <f t="shared" si="11"/>
        <v>9.43249999999989</v>
      </c>
      <c r="O71" s="12">
        <v>35</v>
      </c>
      <c r="P71" s="1" t="str">
        <f>[2]!DEC2HEX((J71*(5000+19.5*(O71+5))-513)/1.379)</f>
        <v>294</v>
      </c>
      <c r="Q71" s="1" t="str">
        <f>[2]!DEC2HEX((J71*(5000+19.5*(H71+5))-513)/1.379)</f>
        <v>27F</v>
      </c>
      <c r="R71" s="1" t="str">
        <f>[2]!DEC2HEX((J71*(5000+19.5*(H71-5))-513)/1.379)</f>
        <v>25C</v>
      </c>
      <c r="S71" s="12">
        <f t="shared" si="12"/>
        <v>28.89999999999999</v>
      </c>
      <c r="W71" s="4">
        <v>5.38</v>
      </c>
      <c r="Y71" s="25">
        <f>[2]!HEX2DEC(P71)</f>
        <v>660</v>
      </c>
      <c r="Z71" s="18">
        <f>1.379*[2]!HEX2DEC(P71)+513</f>
        <v>1423.1399999999999</v>
      </c>
    </row>
    <row r="72" spans="1:26" ht="12.75">
      <c r="A72" s="137"/>
      <c r="B72" s="139"/>
      <c r="C72" s="2" t="s">
        <v>67</v>
      </c>
      <c r="D72" s="1" t="s">
        <v>21</v>
      </c>
      <c r="E72" s="12">
        <f t="shared" si="10"/>
        <v>20.90187146357505</v>
      </c>
      <c r="F72" s="13">
        <f>(1.379*[2]!HEX2DEC(D72)+513)/J72</f>
        <v>5536.149366305202</v>
      </c>
      <c r="G72" s="1">
        <v>272</v>
      </c>
      <c r="H72" s="12">
        <v>29.3</v>
      </c>
      <c r="I72" s="13">
        <f>(1.379*[2]!HEX2DEC(G72)+513)/J72</f>
        <v>5564.025</v>
      </c>
      <c r="J72" s="16">
        <f>(1.379*[2]!HEX2DEC(G72)+513)/((H72*19.25)+5000)</f>
        <v>0.2473486370028891</v>
      </c>
      <c r="K72" s="14">
        <v>30.24</v>
      </c>
      <c r="L72" s="14">
        <f t="shared" si="9"/>
        <v>-0.9399999999999977</v>
      </c>
      <c r="M72" s="12">
        <f t="shared" si="13"/>
        <v>5582.12</v>
      </c>
      <c r="N72" s="12">
        <f t="shared" si="11"/>
        <v>18.095000000000255</v>
      </c>
      <c r="O72" s="12">
        <v>35</v>
      </c>
      <c r="P72" s="1" t="str">
        <f>[2]!DEC2HEX((J72*(5000+19.5*(O72+5))-513)/1.379)</f>
        <v>298</v>
      </c>
      <c r="Q72" s="1" t="str">
        <f>[2]!DEC2HEX((J72*(5000+19.5*(H72+5))-513)/1.379)</f>
        <v>284</v>
      </c>
      <c r="R72" s="1" t="str">
        <f>[2]!DEC2HEX((J72*(5000+19.5*(H72-5))-513)/1.379)</f>
        <v>261</v>
      </c>
      <c r="S72" s="12">
        <f t="shared" si="12"/>
        <v>29.29999999999998</v>
      </c>
      <c r="W72" s="4">
        <v>5.24</v>
      </c>
      <c r="Y72" s="25">
        <f>[2]!HEX2DEC(P72)</f>
        <v>664</v>
      </c>
      <c r="Z72" s="18">
        <f>1.379*[2]!HEX2DEC(P72)+513</f>
        <v>1428.656</v>
      </c>
    </row>
    <row r="73" spans="1:26" ht="12.75">
      <c r="A73" s="137"/>
      <c r="B73" s="139"/>
      <c r="C73" s="2" t="s">
        <v>68</v>
      </c>
      <c r="D73" s="1">
        <v>272</v>
      </c>
      <c r="E73" s="12">
        <f t="shared" si="10"/>
        <v>20.203256929643885</v>
      </c>
      <c r="F73" s="13">
        <f>(1.379*[2]!HEX2DEC(D73)+513)/J73</f>
        <v>5695.487021251985</v>
      </c>
      <c r="G73" s="1" t="s">
        <v>27</v>
      </c>
      <c r="H73" s="12">
        <v>30.2</v>
      </c>
      <c r="I73" s="13">
        <f>(1.379*[2]!HEX2DEC(G73)+513)/J73</f>
        <v>5581.35</v>
      </c>
      <c r="J73" s="16">
        <f>(1.379*[2]!HEX2DEC(G73)+513)/((H73*19.25)+5000)</f>
        <v>0.24163938832003007</v>
      </c>
      <c r="K73" s="14">
        <v>30.22</v>
      </c>
      <c r="L73" s="14">
        <f t="shared" si="9"/>
        <v>-0.019999999999999574</v>
      </c>
      <c r="M73" s="12">
        <f t="shared" si="13"/>
        <v>5581.735</v>
      </c>
      <c r="N73" s="12">
        <f t="shared" si="11"/>
        <v>0.3849999999993088</v>
      </c>
      <c r="O73" s="12">
        <v>35</v>
      </c>
      <c r="P73" s="1" t="str">
        <f>[2]!DEC2HEX((J73*(5000+19.5*(O73+5))-513)/1.379)</f>
        <v>280</v>
      </c>
      <c r="Q73" s="1" t="str">
        <f>[2]!DEC2HEX((J73*(5000+19.5*(H73+5))-513)/1.379)</f>
        <v>270</v>
      </c>
      <c r="R73" s="1" t="str">
        <f>[2]!DEC2HEX((J73*(5000+19.5*(H73-5))-513)/1.379)</f>
        <v>24E</v>
      </c>
      <c r="S73" s="12">
        <f t="shared" si="12"/>
        <v>30.20000000000002</v>
      </c>
      <c r="W73" s="4">
        <v>4.99</v>
      </c>
      <c r="Y73" s="25">
        <f>[2]!HEX2DEC(P73)</f>
        <v>640</v>
      </c>
      <c r="Z73" s="18">
        <f>1.379*[2]!HEX2DEC(P73)+513</f>
        <v>1395.56</v>
      </c>
    </row>
    <row r="74" spans="1:26" ht="12.75">
      <c r="A74" s="137"/>
      <c r="B74" s="139"/>
      <c r="C74" s="2" t="s">
        <v>69</v>
      </c>
      <c r="D74" s="1">
        <v>280</v>
      </c>
      <c r="E74" s="12">
        <f t="shared" si="10"/>
        <v>20.04580272150531</v>
      </c>
      <c r="F74" s="13">
        <f>(1.379*[2]!HEX2DEC(D74)+513)/J74</f>
        <v>5732.1343546510725</v>
      </c>
      <c r="G74" s="1">
        <v>263</v>
      </c>
      <c r="H74" s="12">
        <v>29.5</v>
      </c>
      <c r="I74" s="13">
        <f>(1.379*[2]!HEX2DEC(G74)+513)/J74</f>
        <v>5567.875</v>
      </c>
      <c r="J74" s="16">
        <f>(1.379*[2]!HEX2DEC(G74)+513)/((H74*19.25)+5000)</f>
        <v>0.2434625418135285</v>
      </c>
      <c r="K74" s="14">
        <v>30.08</v>
      </c>
      <c r="L74" s="14">
        <f t="shared" si="9"/>
        <v>-0.5799999999999983</v>
      </c>
      <c r="M74" s="12">
        <f t="shared" si="13"/>
        <v>5579.04</v>
      </c>
      <c r="N74" s="12">
        <f t="shared" si="11"/>
        <v>11.164999999999964</v>
      </c>
      <c r="O74" s="12">
        <v>35</v>
      </c>
      <c r="P74" s="1" t="str">
        <f>[2]!DEC2HEX((J74*(5000+19.5*(O74+5))-513)/1.379)</f>
        <v>288</v>
      </c>
      <c r="Q74" s="1" t="str">
        <f>[2]!DEC2HEX((J74*(5000+19.5*(H74+5))-513)/1.379)</f>
        <v>275</v>
      </c>
      <c r="R74" s="1" t="str">
        <f>[2]!DEC2HEX((J74*(5000+19.5*(H74-5))-513)/1.379)</f>
        <v>253</v>
      </c>
      <c r="S74" s="12">
        <f t="shared" si="12"/>
        <v>29.5</v>
      </c>
      <c r="W74" s="4">
        <v>5.14</v>
      </c>
      <c r="Y74" s="25">
        <f>[2]!HEX2DEC(P74)</f>
        <v>648</v>
      </c>
      <c r="Z74" s="18">
        <f>1.379*[2]!HEX2DEC(P74)+513</f>
        <v>1406.592</v>
      </c>
    </row>
    <row r="75" spans="1:26" ht="12.75">
      <c r="A75" s="137">
        <v>6</v>
      </c>
      <c r="B75" s="138" t="s">
        <v>62</v>
      </c>
      <c r="C75" s="2" t="s">
        <v>64</v>
      </c>
      <c r="D75" s="1" t="s">
        <v>35</v>
      </c>
      <c r="E75" s="12">
        <f t="shared" si="10"/>
        <v>22.357565079822393</v>
      </c>
      <c r="F75" s="13">
        <f>(1.379*[2]!HEX2DEC(D75)+513)/J75</f>
        <v>5220.567060029315</v>
      </c>
      <c r="G75" s="1">
        <v>267</v>
      </c>
      <c r="H75" s="12">
        <v>28.7</v>
      </c>
      <c r="I75" s="13">
        <f>(1.379*[2]!HEX2DEC(G75)+513)/J75</f>
        <v>5552.475</v>
      </c>
      <c r="J75" s="16">
        <f>(1.379*[2]!HEX2DEC(G75)+513)/((H75*19.25)+5000)</f>
        <v>0.2451312252644091</v>
      </c>
      <c r="K75" s="15">
        <v>31</v>
      </c>
      <c r="L75" s="14">
        <f t="shared" si="9"/>
        <v>-2.3000000000000007</v>
      </c>
      <c r="M75" s="12">
        <f t="shared" si="13"/>
        <v>5596.75</v>
      </c>
      <c r="N75" s="12">
        <f t="shared" si="11"/>
        <v>44.274999999999636</v>
      </c>
      <c r="O75" s="12">
        <v>35</v>
      </c>
      <c r="P75" s="1" t="str">
        <f>[2]!DEC2HEX((J75*(5000+19.5*(O75+5))-513)/1.379)</f>
        <v>28F</v>
      </c>
      <c r="Q75" s="1" t="str">
        <f>[2]!DEC2HEX((J75*(5000+19.5*(H75+5))-513)/1.379)</f>
        <v>279</v>
      </c>
      <c r="R75" s="1" t="str">
        <f>[2]!DEC2HEX((J75*(5000+19.5*(H75-5))-513)/1.379)</f>
        <v>256</v>
      </c>
      <c r="S75" s="12">
        <f t="shared" si="12"/>
        <v>28.70000000000002</v>
      </c>
      <c r="W75" s="4">
        <v>5.69</v>
      </c>
      <c r="Y75" s="25">
        <f>[2]!HEX2DEC(P75)</f>
        <v>655</v>
      </c>
      <c r="Z75" s="18">
        <f>1.379*[2]!HEX2DEC(P75)+513</f>
        <v>1416.245</v>
      </c>
    </row>
    <row r="76" spans="1:26" ht="12.75">
      <c r="A76" s="137"/>
      <c r="B76" s="138"/>
      <c r="C76" s="2" t="s">
        <v>65</v>
      </c>
      <c r="D76" s="1" t="s">
        <v>23</v>
      </c>
      <c r="E76" s="12">
        <f t="shared" si="10"/>
        <v>21.719968494336285</v>
      </c>
      <c r="F76" s="13">
        <f>(1.379*[2]!HEX2DEC(D76)+513)/J76</f>
        <v>5356.133690681846</v>
      </c>
      <c r="G76" s="1">
        <v>261</v>
      </c>
      <c r="H76" s="12">
        <v>29.1</v>
      </c>
      <c r="I76" s="13">
        <f>(1.379*[2]!HEX2DEC(G76)+513)/J76</f>
        <v>5560.175</v>
      </c>
      <c r="J76" s="16">
        <f>(1.379*[2]!HEX2DEC(G76)+513)/((H76*19.25)+5000)</f>
        <v>0.2433036729959039</v>
      </c>
      <c r="K76" s="15">
        <v>31.7</v>
      </c>
      <c r="L76" s="14">
        <f t="shared" si="9"/>
        <v>-2.599999999999998</v>
      </c>
      <c r="M76" s="12">
        <f t="shared" si="13"/>
        <v>5610.225</v>
      </c>
      <c r="N76" s="12">
        <f t="shared" si="11"/>
        <v>50.05000000000018</v>
      </c>
      <c r="O76" s="12">
        <v>35</v>
      </c>
      <c r="P76" s="1" t="str">
        <f>[2]!DEC2HEX((J76*(5000+19.5*(O76+5))-513)/1.379)</f>
        <v>287</v>
      </c>
      <c r="Q76" s="1" t="str">
        <f>[2]!DEC2HEX((J76*(5000+19.5*(H76+5))-513)/1.379)</f>
        <v>273</v>
      </c>
      <c r="R76" s="1" t="str">
        <f>[2]!DEC2HEX((J76*(5000+19.5*(H76-5))-513)/1.379)</f>
        <v>251</v>
      </c>
      <c r="S76" s="12">
        <f t="shared" si="12"/>
        <v>29.10000000000001</v>
      </c>
      <c r="W76" s="4">
        <v>5.19</v>
      </c>
      <c r="Y76" s="25">
        <f>[2]!HEX2DEC(P76)</f>
        <v>647</v>
      </c>
      <c r="Z76" s="18">
        <f>1.379*[2]!HEX2DEC(P76)+513</f>
        <v>1405.213</v>
      </c>
    </row>
    <row r="77" spans="1:26" ht="12.75">
      <c r="A77" s="137"/>
      <c r="B77" s="138"/>
      <c r="C77" s="2" t="s">
        <v>66</v>
      </c>
      <c r="D77" s="1" t="s">
        <v>20</v>
      </c>
      <c r="E77" s="12">
        <f t="shared" si="10"/>
        <v>21.15310475355875</v>
      </c>
      <c r="F77" s="13">
        <f>(1.379*[2]!HEX2DEC(D77)+513)/J77</f>
        <v>5480.125835168401</v>
      </c>
      <c r="G77" s="1">
        <v>261</v>
      </c>
      <c r="H77" s="12">
        <v>26.4</v>
      </c>
      <c r="I77" s="13">
        <f>(1.379*[2]!HEX2DEC(G77)+513)/J77</f>
        <v>5508.2</v>
      </c>
      <c r="J77" s="16">
        <f>(1.379*[2]!HEX2DEC(G77)+513)/((H77*19.25)+5000)</f>
        <v>0.24559946988126796</v>
      </c>
      <c r="K77" s="15">
        <v>30.5</v>
      </c>
      <c r="L77" s="14">
        <f t="shared" si="9"/>
        <v>-4.100000000000001</v>
      </c>
      <c r="M77" s="12">
        <f t="shared" si="13"/>
        <v>5587.125</v>
      </c>
      <c r="N77" s="12">
        <f t="shared" si="11"/>
        <v>78.92500000000018</v>
      </c>
      <c r="O77" s="12">
        <v>35</v>
      </c>
      <c r="P77" s="1" t="str">
        <f>[2]!DEC2HEX((J77*(5000+19.5*(O77+5))-513)/1.379)</f>
        <v>291</v>
      </c>
      <c r="Q77" s="1" t="str">
        <f>[2]!DEC2HEX((J77*(5000+19.5*(H77+5))-513)/1.379)</f>
        <v>273</v>
      </c>
      <c r="R77" s="1" t="str">
        <f>[2]!DEC2HEX((J77*(5000+19.5*(H77-5))-513)/1.379)</f>
        <v>250</v>
      </c>
      <c r="S77" s="12">
        <f t="shared" si="12"/>
        <v>26.39999999999999</v>
      </c>
      <c r="W77" s="4">
        <v>4.77</v>
      </c>
      <c r="Y77" s="25">
        <f>[2]!HEX2DEC(P77)</f>
        <v>657</v>
      </c>
      <c r="Z77" s="18">
        <f>1.379*[2]!HEX2DEC(P77)+513</f>
        <v>1419.0030000000002</v>
      </c>
    </row>
    <row r="78" spans="1:26" ht="12.75">
      <c r="A78" s="137"/>
      <c r="B78" s="138"/>
      <c r="C78" s="2" t="s">
        <v>67</v>
      </c>
      <c r="D78" s="1" t="s">
        <v>20</v>
      </c>
      <c r="E78" s="12">
        <f t="shared" si="10"/>
        <v>21.246407924940172</v>
      </c>
      <c r="F78" s="13">
        <f>(1.379*[2]!HEX2DEC(D78)+513)/J78</f>
        <v>5459.488607815644</v>
      </c>
      <c r="G78" s="1" t="s">
        <v>17</v>
      </c>
      <c r="H78" s="12">
        <v>29.1</v>
      </c>
      <c r="I78" s="13">
        <f>(1.379*[2]!HEX2DEC(G78)+513)/J78</f>
        <v>5560.175</v>
      </c>
      <c r="J78" s="16">
        <f>(1.379*[2]!HEX2DEC(G78)+513)/((H78*19.25)+5000)</f>
        <v>0.24652785209098635</v>
      </c>
      <c r="K78" s="15">
        <v>31.9</v>
      </c>
      <c r="L78" s="14">
        <f t="shared" si="9"/>
        <v>-2.799999999999997</v>
      </c>
      <c r="M78" s="12">
        <f t="shared" si="13"/>
        <v>5614.075000000001</v>
      </c>
      <c r="N78" s="12">
        <f t="shared" si="11"/>
        <v>53.900000000000546</v>
      </c>
      <c r="O78" s="12">
        <v>35</v>
      </c>
      <c r="P78" s="1" t="str">
        <f>[2]!DEC2HEX((J78*(5000+19.5*(O78+5))-513)/1.379)</f>
        <v>295</v>
      </c>
      <c r="Q78" s="1" t="str">
        <f>[2]!DEC2HEX((J78*(5000+19.5*(H78+5))-513)/1.379)</f>
        <v>280</v>
      </c>
      <c r="R78" s="1" t="str">
        <f>[2]!DEC2HEX((J78*(5000+19.5*(H78-5))-513)/1.379)</f>
        <v>25D</v>
      </c>
      <c r="S78" s="12">
        <f t="shared" si="12"/>
        <v>29.10000000000001</v>
      </c>
      <c r="W78" s="4">
        <v>5.16</v>
      </c>
      <c r="Y78" s="25">
        <f>[2]!HEX2DEC(P78)</f>
        <v>661</v>
      </c>
      <c r="Z78" s="18">
        <f>1.379*[2]!HEX2DEC(P78)+513</f>
        <v>1424.519</v>
      </c>
    </row>
    <row r="79" spans="1:26" ht="12.75">
      <c r="A79" s="137"/>
      <c r="B79" s="138"/>
      <c r="C79" s="2" t="s">
        <v>68</v>
      </c>
      <c r="D79" s="1" t="s">
        <v>36</v>
      </c>
      <c r="E79" s="12">
        <f t="shared" si="10"/>
        <v>22.984710070822757</v>
      </c>
      <c r="F79" s="13">
        <f>(1.379*[2]!HEX2DEC(D79)+513)/J79</f>
        <v>5091.119014255842</v>
      </c>
      <c r="G79" s="1">
        <v>271</v>
      </c>
      <c r="H79" s="12">
        <v>29.7</v>
      </c>
      <c r="I79" s="13">
        <f>(1.379*[2]!HEX2DEC(G79)+513)/J79</f>
        <v>5571.725</v>
      </c>
      <c r="J79" s="16">
        <f>(1.379*[2]!HEX2DEC(G79)+513)/((H79*19.25)+5000)</f>
        <v>0.24675930703686919</v>
      </c>
      <c r="K79" s="15">
        <v>31.7</v>
      </c>
      <c r="L79" s="14">
        <f t="shared" si="9"/>
        <v>-2</v>
      </c>
      <c r="M79" s="12">
        <f t="shared" si="13"/>
        <v>5610.225</v>
      </c>
      <c r="N79" s="12">
        <f t="shared" si="11"/>
        <v>38.5</v>
      </c>
      <c r="O79" s="12">
        <v>35</v>
      </c>
      <c r="P79" s="1" t="str">
        <f>[2]!DEC2HEX((J79*(5000+19.5*(O79+5))-513)/1.379)</f>
        <v>296</v>
      </c>
      <c r="Q79" s="1" t="str">
        <f>[2]!DEC2HEX((J79*(5000+19.5*(H79+5))-513)/1.379)</f>
        <v>283</v>
      </c>
      <c r="R79" s="1" t="str">
        <f>[2]!DEC2HEX((J79*(5000+19.5*(H79-5))-513)/1.379)</f>
        <v>260</v>
      </c>
      <c r="S79" s="12">
        <f t="shared" si="12"/>
        <v>29.70000000000002</v>
      </c>
      <c r="W79" s="4">
        <v>5.27</v>
      </c>
      <c r="Y79" s="25">
        <f>[2]!HEX2DEC(P79)</f>
        <v>662</v>
      </c>
      <c r="Z79" s="18">
        <f>1.379*[2]!HEX2DEC(P79)+513</f>
        <v>1425.8980000000001</v>
      </c>
    </row>
    <row r="80" spans="1:26" ht="12.75">
      <c r="A80" s="137"/>
      <c r="B80" s="138"/>
      <c r="C80" s="2" t="s">
        <v>69</v>
      </c>
      <c r="D80" s="1">
        <v>251</v>
      </c>
      <c r="E80" s="12">
        <f t="shared" si="10"/>
        <v>21.55365249989933</v>
      </c>
      <c r="F80" s="13">
        <f>(1.379*[2]!HEX2DEC(D80)+513)/J80</f>
        <v>5392.169674186974</v>
      </c>
      <c r="G80" s="1" t="s">
        <v>21</v>
      </c>
      <c r="H80" s="12">
        <v>28.5</v>
      </c>
      <c r="I80" s="13">
        <f>(1.379*[2]!HEX2DEC(G80)+513)/J80</f>
        <v>5548.625</v>
      </c>
      <c r="J80" s="16">
        <f>(1.379*[2]!HEX2DEC(G80)+513)/((H80*19.25)+5000)</f>
        <v>0.24679249363581066</v>
      </c>
      <c r="K80" s="15">
        <v>32.5</v>
      </c>
      <c r="L80" s="14">
        <f t="shared" si="9"/>
        <v>-4</v>
      </c>
      <c r="M80" s="12">
        <f t="shared" si="13"/>
        <v>5625.625</v>
      </c>
      <c r="N80" s="12">
        <f t="shared" si="11"/>
        <v>77</v>
      </c>
      <c r="O80" s="12">
        <v>35</v>
      </c>
      <c r="P80" s="1" t="str">
        <f>[2]!DEC2HEX((J80*(5000+19.5*(O80+5))-513)/1.379)</f>
        <v>296</v>
      </c>
      <c r="Q80" s="1" t="str">
        <f>[2]!DEC2HEX((J80*(5000+19.5*(H80+5))-513)/1.379)</f>
        <v>27F</v>
      </c>
      <c r="R80" s="1" t="str">
        <f>[2]!DEC2HEX((J80*(5000+19.5*(H80-5))-513)/1.379)</f>
        <v>25C</v>
      </c>
      <c r="S80" s="12">
        <f t="shared" si="12"/>
        <v>28.5</v>
      </c>
      <c r="W80" s="4">
        <v>5.23</v>
      </c>
      <c r="Y80" s="25">
        <f>[2]!HEX2DEC(P80)</f>
        <v>662</v>
      </c>
      <c r="Z80" s="18">
        <f>1.379*[2]!HEX2DEC(P80)+513</f>
        <v>1425.8980000000001</v>
      </c>
    </row>
    <row r="81" spans="1:26" ht="12.75">
      <c r="A81" s="137"/>
      <c r="B81" s="139" t="s">
        <v>61</v>
      </c>
      <c r="C81" s="2" t="s">
        <v>64</v>
      </c>
      <c r="D81" s="1">
        <v>283</v>
      </c>
      <c r="E81" s="12">
        <f t="shared" si="10"/>
        <v>19.912274030856565</v>
      </c>
      <c r="F81" s="13">
        <f>(1.379*[2]!HEX2DEC(D81)+513)/J81</f>
        <v>5763.42890718445</v>
      </c>
      <c r="G81" s="1">
        <v>253</v>
      </c>
      <c r="H81" s="12">
        <v>25.5</v>
      </c>
      <c r="I81" s="13">
        <f>(1.379*[2]!HEX2DEC(G81)+513)/J81</f>
        <v>5490.875</v>
      </c>
      <c r="J81" s="16">
        <f>(1.379*[2]!HEX2DEC(G81)+513)/((H81*19.25)+5000)</f>
        <v>0.24285837867370869</v>
      </c>
      <c r="K81" s="14">
        <v>29.4</v>
      </c>
      <c r="L81" s="14">
        <f t="shared" si="9"/>
        <v>-3.8999999999999986</v>
      </c>
      <c r="M81" s="12">
        <f t="shared" si="13"/>
        <v>5565.950000000001</v>
      </c>
      <c r="N81" s="12">
        <f t="shared" si="11"/>
        <v>75.07500000000073</v>
      </c>
      <c r="O81" s="12">
        <v>35</v>
      </c>
      <c r="P81" s="1" t="str">
        <f>[2]!DEC2HEX((J81*(5000+19.5*(O81+5))-513)/1.379)</f>
        <v>285</v>
      </c>
      <c r="Q81" s="1" t="str">
        <f>[2]!DEC2HEX((J81*(5000+19.5*(H81+5))-513)/1.379)</f>
        <v>265</v>
      </c>
      <c r="R81" s="1" t="str">
        <f>[2]!DEC2HEX((J81*(5000+19.5*(H81-5))-513)/1.379)</f>
        <v>242</v>
      </c>
      <c r="S81" s="12">
        <f t="shared" si="12"/>
        <v>25.5</v>
      </c>
      <c r="W81" s="4">
        <v>4.84</v>
      </c>
      <c r="Y81" s="25">
        <f>[2]!HEX2DEC(P81)</f>
        <v>645</v>
      </c>
      <c r="Z81" s="18">
        <f>1.379*[2]!HEX2DEC(P81)+513</f>
        <v>1402.455</v>
      </c>
    </row>
    <row r="82" spans="1:26" ht="12.75">
      <c r="A82" s="137"/>
      <c r="B82" s="139"/>
      <c r="C82" s="2" t="s">
        <v>65</v>
      </c>
      <c r="D82" s="1">
        <v>293</v>
      </c>
      <c r="E82" s="12">
        <f t="shared" si="10"/>
        <v>19.69483830025797</v>
      </c>
      <c r="F82" s="13">
        <f>(1.379*[2]!HEX2DEC(D82)+513)/J82</f>
        <v>5814.8162564859995</v>
      </c>
      <c r="G82" s="1" t="s">
        <v>27</v>
      </c>
      <c r="H82" s="12">
        <v>26.8</v>
      </c>
      <c r="I82" s="13">
        <f>(1.379*[2]!HEX2DEC(G82)+513)/J82</f>
        <v>5515.9</v>
      </c>
      <c r="J82" s="16">
        <f>(1.379*[2]!HEX2DEC(G82)+513)/((H82*19.25)+5000)</f>
        <v>0.24450660816911113</v>
      </c>
      <c r="K82" s="14">
        <v>30.15</v>
      </c>
      <c r="L82" s="14">
        <f t="shared" si="9"/>
        <v>-3.349999999999998</v>
      </c>
      <c r="M82" s="12">
        <f t="shared" si="13"/>
        <v>5580.387500000001</v>
      </c>
      <c r="N82" s="12">
        <f t="shared" si="11"/>
        <v>64.48750000000109</v>
      </c>
      <c r="O82" s="12">
        <v>35</v>
      </c>
      <c r="P82" s="1" t="str">
        <f>[2]!DEC2HEX((J82*(5000+19.5*(O82+5))-513)/1.379)</f>
        <v>28C</v>
      </c>
      <c r="Q82" s="1" t="str">
        <f>[2]!DEC2HEX((J82*(5000+19.5*(H82+5))-513)/1.379)</f>
        <v>270</v>
      </c>
      <c r="R82" s="1" t="str">
        <f>[2]!DEC2HEX((J82*(5000+19.5*(H82-5))-513)/1.379)</f>
        <v>24D</v>
      </c>
      <c r="S82" s="12">
        <f t="shared" si="12"/>
        <v>26.79999999999998</v>
      </c>
      <c r="W82" s="4">
        <v>5.46</v>
      </c>
      <c r="Y82" s="25">
        <f>[2]!HEX2DEC(P82)</f>
        <v>652</v>
      </c>
      <c r="Z82" s="18">
        <f>1.379*[2]!HEX2DEC(P82)+513</f>
        <v>1412.108</v>
      </c>
    </row>
    <row r="83" spans="1:26" ht="12.75">
      <c r="A83" s="137"/>
      <c r="B83" s="139"/>
      <c r="C83" s="2" t="s">
        <v>66</v>
      </c>
      <c r="D83" s="1">
        <v>263</v>
      </c>
      <c r="E83" s="12">
        <f t="shared" si="10"/>
        <v>20.928160094431064</v>
      </c>
      <c r="F83" s="13">
        <f>(1.379*[2]!HEX2DEC(D83)+513)/J83</f>
        <v>5530.255924496773</v>
      </c>
      <c r="G83" s="1" t="s">
        <v>20</v>
      </c>
      <c r="H83" s="12">
        <v>25.5</v>
      </c>
      <c r="I83" s="13">
        <f>(1.379*[2]!HEX2DEC(G83)+513)/J83</f>
        <v>5490.875</v>
      </c>
      <c r="J83" s="16">
        <f>(1.379*[2]!HEX2DEC(G83)+513)/((H83*19.25)+5000)</f>
        <v>0.24511867416395386</v>
      </c>
      <c r="K83" s="14">
        <v>29.5</v>
      </c>
      <c r="L83" s="14">
        <f t="shared" si="9"/>
        <v>-4</v>
      </c>
      <c r="M83" s="12">
        <f t="shared" si="13"/>
        <v>5567.875</v>
      </c>
      <c r="N83" s="12">
        <f t="shared" si="11"/>
        <v>77</v>
      </c>
      <c r="O83" s="12">
        <v>35</v>
      </c>
      <c r="P83" s="1" t="str">
        <f>[2]!DEC2HEX((J83*(5000+19.5*(O83+5))-513)/1.379)</f>
        <v>28F</v>
      </c>
      <c r="Q83" s="1" t="str">
        <f>[2]!DEC2HEX((J83*(5000+19.5*(H83+5))-513)/1.379)</f>
        <v>26E</v>
      </c>
      <c r="R83" s="1" t="str">
        <f>[2]!DEC2HEX((J83*(5000+19.5*(H83-5))-513)/1.379)</f>
        <v>24B</v>
      </c>
      <c r="S83" s="12">
        <f t="shared" si="12"/>
        <v>25.5</v>
      </c>
      <c r="W83" s="4">
        <v>5.13</v>
      </c>
      <c r="Y83" s="25">
        <f>[2]!HEX2DEC(P83)</f>
        <v>655</v>
      </c>
      <c r="Z83" s="18">
        <f>1.379*[2]!HEX2DEC(P83)+513</f>
        <v>1416.245</v>
      </c>
    </row>
    <row r="84" spans="1:26" ht="12.75">
      <c r="A84" s="137"/>
      <c r="B84" s="139"/>
      <c r="C84" s="2" t="s">
        <v>67</v>
      </c>
      <c r="D84" s="1" t="s">
        <v>34</v>
      </c>
      <c r="E84" s="12">
        <f t="shared" si="10"/>
        <v>20.566635953162063</v>
      </c>
      <c r="F84" s="13">
        <f>(1.379*[2]!HEX2DEC(D84)+513)/J84</f>
        <v>5611.950055979906</v>
      </c>
      <c r="G84" s="1" t="s">
        <v>26</v>
      </c>
      <c r="H84" s="12">
        <v>26.3</v>
      </c>
      <c r="I84" s="13">
        <f>(1.379*[2]!HEX2DEC(G84)+513)/J84</f>
        <v>5506.275</v>
      </c>
      <c r="J84" s="16">
        <f>(1.379*[2]!HEX2DEC(G84)+513)/((H84*19.25)+5000)</f>
        <v>0.24793930561041722</v>
      </c>
      <c r="K84" s="14">
        <v>31.2</v>
      </c>
      <c r="L84" s="14">
        <f t="shared" si="9"/>
        <v>-4.899999999999999</v>
      </c>
      <c r="M84" s="12">
        <f t="shared" si="13"/>
        <v>5600.599999999999</v>
      </c>
      <c r="N84" s="12">
        <f t="shared" si="11"/>
        <v>94.32499999999982</v>
      </c>
      <c r="O84" s="12">
        <v>35</v>
      </c>
      <c r="P84" s="1" t="str">
        <f>[2]!DEC2HEX((J84*(5000+19.5*(O84+5))-513)/1.379)</f>
        <v>29B</v>
      </c>
      <c r="Q84" s="1" t="str">
        <f>[2]!DEC2HEX((J84*(5000+19.5*(H84+5))-513)/1.379)</f>
        <v>27C</v>
      </c>
      <c r="R84" s="1" t="str">
        <f>[2]!DEC2HEX((J84*(5000+19.5*(H84-5))-513)/1.379)</f>
        <v>259</v>
      </c>
      <c r="S84" s="12">
        <f t="shared" si="12"/>
        <v>26.29999999999998</v>
      </c>
      <c r="W84" s="4">
        <v>5.07</v>
      </c>
      <c r="Y84" s="25">
        <f>[2]!HEX2DEC(P84)</f>
        <v>667</v>
      </c>
      <c r="Z84" s="18">
        <f>1.379*[2]!HEX2DEC(P84)+513</f>
        <v>1432.7930000000001</v>
      </c>
    </row>
    <row r="85" spans="1:26" ht="12.75">
      <c r="A85" s="137"/>
      <c r="B85" s="139"/>
      <c r="C85" s="2" t="s">
        <v>68</v>
      </c>
      <c r="D85" s="1">
        <v>244</v>
      </c>
      <c r="E85" s="12">
        <f t="shared" si="10"/>
        <v>21.490226312473908</v>
      </c>
      <c r="F85" s="13">
        <f>(1.379*[2]!HEX2DEC(D85)+513)/J85</f>
        <v>5405.986896344463</v>
      </c>
      <c r="G85" s="1">
        <v>256</v>
      </c>
      <c r="H85" s="12">
        <v>26.4</v>
      </c>
      <c r="I85" s="13">
        <f>(1.379*[2]!HEX2DEC(G85)+513)/J85</f>
        <v>5508.2</v>
      </c>
      <c r="J85" s="16">
        <f>(1.379*[2]!HEX2DEC(G85)+513)/((H85*19.25)+5000)</f>
        <v>0.24284557568715734</v>
      </c>
      <c r="K85" s="14">
        <v>29.9</v>
      </c>
      <c r="L85" s="14">
        <f t="shared" si="9"/>
        <v>-3.5</v>
      </c>
      <c r="M85" s="12">
        <f t="shared" si="13"/>
        <v>5575.575</v>
      </c>
      <c r="N85" s="12">
        <f t="shared" si="11"/>
        <v>67.375</v>
      </c>
      <c r="O85" s="12">
        <v>35</v>
      </c>
      <c r="P85" s="1" t="str">
        <f>[2]!DEC2HEX((J85*(5000+19.5*(O85+5))-513)/1.379)</f>
        <v>285</v>
      </c>
      <c r="Q85" s="1" t="str">
        <f>[2]!DEC2HEX((J85*(5000+19.5*(H85+5))-513)/1.379)</f>
        <v>268</v>
      </c>
      <c r="R85" s="1" t="str">
        <f>[2]!DEC2HEX((J85*(5000+19.5*(H85-5))-513)/1.379)</f>
        <v>245</v>
      </c>
      <c r="S85" s="12">
        <f t="shared" si="12"/>
        <v>26.39999999999999</v>
      </c>
      <c r="W85" s="4">
        <v>4.9</v>
      </c>
      <c r="Y85" s="25">
        <f>[2]!HEX2DEC(P85)</f>
        <v>645</v>
      </c>
      <c r="Z85" s="18">
        <f>1.379*[2]!HEX2DEC(P85)+513</f>
        <v>1402.455</v>
      </c>
    </row>
    <row r="86" spans="1:26" ht="12.75">
      <c r="A86" s="137"/>
      <c r="B86" s="139"/>
      <c r="C86" s="2" t="s">
        <v>69</v>
      </c>
      <c r="D86" s="1">
        <v>267</v>
      </c>
      <c r="E86" s="12">
        <f t="shared" si="10"/>
        <v>20.587612118997583</v>
      </c>
      <c r="F86" s="13">
        <f>(1.379*[2]!HEX2DEC(D86)+513)/J86</f>
        <v>5607.171699254092</v>
      </c>
      <c r="G86" s="1" t="s">
        <v>33</v>
      </c>
      <c r="H86" s="12">
        <v>28</v>
      </c>
      <c r="I86" s="13">
        <f>(1.379*[2]!HEX2DEC(G86)+513)/J86</f>
        <v>5539</v>
      </c>
      <c r="J86" s="16">
        <f>(1.379*[2]!HEX2DEC(G86)+513)/((H86*19.25)+5000)</f>
        <v>0.24274002527532046</v>
      </c>
      <c r="K86" s="14">
        <v>30</v>
      </c>
      <c r="L86" s="14">
        <f t="shared" si="9"/>
        <v>-2</v>
      </c>
      <c r="M86" s="12">
        <f t="shared" si="13"/>
        <v>5577.5</v>
      </c>
      <c r="N86" s="12">
        <f t="shared" si="11"/>
        <v>38.5</v>
      </c>
      <c r="O86" s="12">
        <v>35</v>
      </c>
      <c r="P86" s="1" t="str">
        <f>[2]!DEC2HEX((J86*(5000+19.5*(O86+5))-513)/1.379)</f>
        <v>285</v>
      </c>
      <c r="Q86" s="1" t="str">
        <f>[2]!DEC2HEX((J86*(5000+19.5*(H86+5))-513)/1.379)</f>
        <v>26D</v>
      </c>
      <c r="R86" s="1" t="str">
        <f>[2]!DEC2HEX((J86*(5000+19.5*(H86-5))-513)/1.379)</f>
        <v>24B</v>
      </c>
      <c r="S86" s="12">
        <f t="shared" si="12"/>
        <v>28</v>
      </c>
      <c r="W86" s="4">
        <v>4.69</v>
      </c>
      <c r="Y86" s="25">
        <f>[2]!HEX2DEC(P86)</f>
        <v>645</v>
      </c>
      <c r="Z86" s="18">
        <f>1.379*[2]!HEX2DEC(P86)+513</f>
        <v>1402.455</v>
      </c>
    </row>
    <row r="87" spans="1:26" ht="12.75">
      <c r="A87" s="137">
        <v>7</v>
      </c>
      <c r="B87" s="138" t="s">
        <v>62</v>
      </c>
      <c r="C87" s="2" t="s">
        <v>64</v>
      </c>
      <c r="D87" s="1" t="s">
        <v>34</v>
      </c>
      <c r="E87" s="12">
        <f t="shared" si="10"/>
        <v>20.289094211912982</v>
      </c>
      <c r="F87" s="13">
        <f>(1.379*[2]!HEX2DEC(D87)+513)/J87</f>
        <v>5675.623705340709</v>
      </c>
      <c r="G87" s="1">
        <v>263</v>
      </c>
      <c r="H87" s="12">
        <v>27.5</v>
      </c>
      <c r="I87" s="13">
        <f>(1.379*[2]!HEX2DEC(G87)+513)/J87</f>
        <v>5529.375</v>
      </c>
      <c r="J87" s="16">
        <f>(1.379*[2]!HEX2DEC(G87)+513)/((H87*19.25)+5000)</f>
        <v>0.24515772578275122</v>
      </c>
      <c r="K87" s="14">
        <v>32</v>
      </c>
      <c r="L87" s="14">
        <f t="shared" si="9"/>
        <v>-4.5</v>
      </c>
      <c r="M87" s="12">
        <f t="shared" si="13"/>
        <v>5616</v>
      </c>
      <c r="N87" s="12">
        <f t="shared" si="11"/>
        <v>86.625</v>
      </c>
      <c r="O87" s="12">
        <v>35</v>
      </c>
      <c r="P87" s="1" t="str">
        <f>[2]!DEC2HEX((J87*(5000+19.5*(O87+5))-513)/1.379)</f>
        <v>28F</v>
      </c>
      <c r="Q87" s="1" t="str">
        <f>[2]!DEC2HEX((J87*(5000+19.5*(H87+5))-513)/1.379)</f>
        <v>275</v>
      </c>
      <c r="R87" s="1" t="str">
        <f>[2]!DEC2HEX((J87*(5000+19.5*(H87-5))-513)/1.379)</f>
        <v>252</v>
      </c>
      <c r="S87" s="12">
        <f t="shared" si="12"/>
        <v>27.5</v>
      </c>
      <c r="W87" s="4">
        <v>5.08</v>
      </c>
      <c r="Y87" s="25">
        <f>[2]!HEX2DEC(P87)</f>
        <v>655</v>
      </c>
      <c r="Z87" s="18">
        <f>1.379*[2]!HEX2DEC(P87)+513</f>
        <v>1416.245</v>
      </c>
    </row>
    <row r="88" spans="1:26" ht="12.75">
      <c r="A88" s="137"/>
      <c r="B88" s="138"/>
      <c r="C88" s="2" t="s">
        <v>65</v>
      </c>
      <c r="D88" s="1" t="s">
        <v>41</v>
      </c>
      <c r="E88" s="12">
        <f t="shared" si="10"/>
        <v>19.266237669054533</v>
      </c>
      <c r="F88" s="13">
        <f>(1.379*[2]!HEX2DEC(D88)+513)/J88</f>
        <v>5917.68337215635</v>
      </c>
      <c r="G88" s="1">
        <v>260</v>
      </c>
      <c r="H88" s="12">
        <v>28</v>
      </c>
      <c r="I88" s="13">
        <f>(1.379*[2]!HEX2DEC(G88)+513)/J88</f>
        <v>5539</v>
      </c>
      <c r="J88" s="16">
        <f>(1.379*[2]!HEX2DEC(G88)+513)/((H88*19.25)+5000)</f>
        <v>0.24398483480772704</v>
      </c>
      <c r="K88" s="14">
        <v>32.7</v>
      </c>
      <c r="L88" s="14">
        <f t="shared" si="9"/>
        <v>-4.700000000000003</v>
      </c>
      <c r="M88" s="12">
        <f t="shared" si="13"/>
        <v>5629.475</v>
      </c>
      <c r="N88" s="12">
        <f t="shared" si="11"/>
        <v>90.47500000000036</v>
      </c>
      <c r="O88" s="12">
        <v>35</v>
      </c>
      <c r="P88" s="1" t="str">
        <f>[2]!DEC2HEX((J88*(5000+19.5*(O88+5))-513)/1.379)</f>
        <v>28A</v>
      </c>
      <c r="Q88" s="1" t="str">
        <f>[2]!DEC2HEX((J88*(5000+19.5*(H88+5))-513)/1.379)</f>
        <v>272</v>
      </c>
      <c r="R88" s="1" t="str">
        <f>[2]!DEC2HEX((J88*(5000+19.5*(H88-5))-513)/1.379)</f>
        <v>24F</v>
      </c>
      <c r="S88" s="12">
        <f t="shared" si="12"/>
        <v>28</v>
      </c>
      <c r="W88" s="4">
        <v>5.31</v>
      </c>
      <c r="Y88" s="25">
        <f>[2]!HEX2DEC(P88)</f>
        <v>650</v>
      </c>
      <c r="Z88" s="18">
        <f>1.379*[2]!HEX2DEC(P88)+513</f>
        <v>1409.35</v>
      </c>
    </row>
    <row r="89" spans="1:26" ht="12.75">
      <c r="A89" s="137"/>
      <c r="B89" s="138"/>
      <c r="C89" s="2" t="s">
        <v>66</v>
      </c>
      <c r="D89" s="1" t="s">
        <v>42</v>
      </c>
      <c r="E89" s="12">
        <f t="shared" si="10"/>
        <v>19.943912114626244</v>
      </c>
      <c r="F89" s="13">
        <f>(1.379*[2]!HEX2DEC(D89)+513)/J89</f>
        <v>5755.996030773749</v>
      </c>
      <c r="G89" s="1" t="s">
        <v>26</v>
      </c>
      <c r="H89" s="12">
        <v>28.5</v>
      </c>
      <c r="I89" s="13">
        <f>(1.379*[2]!HEX2DEC(G89)+513)/J89</f>
        <v>5548.625</v>
      </c>
      <c r="J89" s="16">
        <f>(1.379*[2]!HEX2DEC(G89)+513)/((H89*19.25)+5000)</f>
        <v>0.24604690351213138</v>
      </c>
      <c r="K89" s="14">
        <v>34</v>
      </c>
      <c r="L89" s="14">
        <f t="shared" si="9"/>
        <v>-5.5</v>
      </c>
      <c r="M89" s="12">
        <f t="shared" si="13"/>
        <v>5654.5</v>
      </c>
      <c r="N89" s="12">
        <f t="shared" si="11"/>
        <v>105.875</v>
      </c>
      <c r="O89" s="12">
        <v>35</v>
      </c>
      <c r="P89" s="1" t="str">
        <f>[2]!DEC2HEX((J89*(5000+19.5*(O89+5))-513)/1.379)</f>
        <v>293</v>
      </c>
      <c r="Q89" s="1" t="str">
        <f>[2]!DEC2HEX((J89*(5000+19.5*(H89+5))-513)/1.379)</f>
        <v>27C</v>
      </c>
      <c r="R89" s="1" t="str">
        <f>[2]!DEC2HEX((J89*(5000+19.5*(H89-5))-513)/1.379)</f>
        <v>259</v>
      </c>
      <c r="S89" s="12">
        <f t="shared" si="12"/>
        <v>28.5</v>
      </c>
      <c r="W89" s="4">
        <v>5.1</v>
      </c>
      <c r="Y89" s="25">
        <f>[2]!HEX2DEC(P89)</f>
        <v>659</v>
      </c>
      <c r="Z89" s="18">
        <f>1.379*[2]!HEX2DEC(P89)+513</f>
        <v>1421.761</v>
      </c>
    </row>
    <row r="90" spans="1:26" ht="12.75">
      <c r="A90" s="137"/>
      <c r="B90" s="138"/>
      <c r="C90" s="2" t="s">
        <v>67</v>
      </c>
      <c r="D90" s="1" t="s">
        <v>29</v>
      </c>
      <c r="E90" s="12">
        <f t="shared" si="10"/>
        <v>19.85195731539278</v>
      </c>
      <c r="F90" s="13">
        <f>(1.379*[2]!HEX2DEC(D90)+513)/J90</f>
        <v>5777.630448664823</v>
      </c>
      <c r="G90" s="1">
        <v>260</v>
      </c>
      <c r="H90" s="12">
        <v>27.5</v>
      </c>
      <c r="I90" s="13">
        <f>(1.379*[2]!HEX2DEC(G90)+513)/J90</f>
        <v>5529.375</v>
      </c>
      <c r="J90" s="16">
        <f>(1.379*[2]!HEX2DEC(G90)+513)/((H90*19.25)+5000)</f>
        <v>0.2444095399570476</v>
      </c>
      <c r="K90" s="14">
        <v>33.2</v>
      </c>
      <c r="L90" s="14">
        <f t="shared" si="9"/>
        <v>-5.700000000000003</v>
      </c>
      <c r="M90" s="12">
        <f t="shared" si="13"/>
        <v>5639.099999999999</v>
      </c>
      <c r="N90" s="12">
        <f t="shared" si="11"/>
        <v>109.72499999999945</v>
      </c>
      <c r="O90" s="12">
        <v>35</v>
      </c>
      <c r="P90" s="1" t="str">
        <f>[2]!DEC2HEX((J90*(5000+19.5*(O90+5))-513)/1.379)</f>
        <v>28C</v>
      </c>
      <c r="Q90" s="1" t="str">
        <f>[2]!DEC2HEX((J90*(5000+19.5*(H90+5))-513)/1.379)</f>
        <v>272</v>
      </c>
      <c r="R90" s="1" t="str">
        <f>[2]!DEC2HEX((J90*(5000+19.5*(H90-5))-513)/1.379)</f>
        <v>24F</v>
      </c>
      <c r="S90" s="12">
        <f t="shared" si="12"/>
        <v>27.5</v>
      </c>
      <c r="W90" s="4">
        <v>5.11</v>
      </c>
      <c r="Y90" s="25">
        <f>[2]!HEX2DEC(P90)</f>
        <v>652</v>
      </c>
      <c r="Z90" s="18">
        <f>1.379*[2]!HEX2DEC(P90)+513</f>
        <v>1412.108</v>
      </c>
    </row>
    <row r="91" spans="1:26" ht="12.75">
      <c r="A91" s="137"/>
      <c r="B91" s="138"/>
      <c r="C91" s="2" t="s">
        <v>68</v>
      </c>
      <c r="D91" s="1">
        <v>278</v>
      </c>
      <c r="E91" s="12">
        <f t="shared" si="10"/>
        <v>20.093708833224127</v>
      </c>
      <c r="F91" s="13">
        <f>(1.379*[2]!HEX2DEC(D91)+513)/J91</f>
        <v>5720.955186519735</v>
      </c>
      <c r="G91" s="1">
        <v>253</v>
      </c>
      <c r="H91" s="12">
        <v>26.5</v>
      </c>
      <c r="I91" s="13">
        <f>(1.379*[2]!HEX2DEC(G91)+513)/J91</f>
        <v>5510.125</v>
      </c>
      <c r="J91" s="16">
        <f>(1.379*[2]!HEX2DEC(G91)+513)/((H91*19.25)+5000)</f>
        <v>0.24200993625371478</v>
      </c>
      <c r="K91" s="14">
        <v>31.6</v>
      </c>
      <c r="L91" s="14">
        <f aca="true" t="shared" si="14" ref="L91:L122">H91-K91</f>
        <v>-5.100000000000001</v>
      </c>
      <c r="M91" s="12">
        <f t="shared" si="13"/>
        <v>5608.3</v>
      </c>
      <c r="N91" s="12">
        <f t="shared" si="11"/>
        <v>98.17500000000018</v>
      </c>
      <c r="O91" s="12">
        <v>35</v>
      </c>
      <c r="P91" s="1" t="str">
        <f>[2]!DEC2HEX((J91*(5000+19.5*(O91+5))-513)/1.379)</f>
        <v>282</v>
      </c>
      <c r="Q91" s="1" t="str">
        <f>[2]!DEC2HEX((J91*(5000+19.5*(H91+5))-513)/1.379)</f>
        <v>265</v>
      </c>
      <c r="R91" s="1" t="str">
        <f>[2]!DEC2HEX((J91*(5000+19.5*(H91-5))-513)/1.379)</f>
        <v>243</v>
      </c>
      <c r="S91" s="12">
        <f t="shared" si="12"/>
        <v>26.5</v>
      </c>
      <c r="W91" s="4">
        <v>3.9</v>
      </c>
      <c r="Y91" s="25">
        <f>[2]!HEX2DEC(P91)</f>
        <v>642</v>
      </c>
      <c r="Z91" s="18">
        <f>1.379*[2]!HEX2DEC(P91)+513</f>
        <v>1398.318</v>
      </c>
    </row>
    <row r="92" spans="1:26" ht="12.75">
      <c r="A92" s="137"/>
      <c r="B92" s="138"/>
      <c r="C92" s="2" t="s">
        <v>69</v>
      </c>
      <c r="D92" s="1" t="s">
        <v>43</v>
      </c>
      <c r="E92" s="12">
        <f t="shared" si="10"/>
        <v>20.995406712337115</v>
      </c>
      <c r="F92" s="13">
        <f>(1.379*[2]!HEX2DEC(D92)+513)/J92</f>
        <v>5515.213748235881</v>
      </c>
      <c r="G92" s="1">
        <v>265</v>
      </c>
      <c r="H92" s="12">
        <v>30</v>
      </c>
      <c r="I92" s="13">
        <f>(1.379*[2]!HEX2DEC(G92)+513)/J92</f>
        <v>5577.5</v>
      </c>
      <c r="J92" s="16">
        <f>(1.379*[2]!HEX2DEC(G92)+513)/((H92*19.25)+5000)</f>
        <v>0.2435368892873151</v>
      </c>
      <c r="K92" s="14">
        <v>33.22</v>
      </c>
      <c r="L92" s="14">
        <f t="shared" si="14"/>
        <v>-3.219999999999999</v>
      </c>
      <c r="M92" s="12">
        <f t="shared" si="13"/>
        <v>5639.485</v>
      </c>
      <c r="N92" s="12">
        <f t="shared" si="11"/>
        <v>61.98499999999967</v>
      </c>
      <c r="O92" s="12">
        <v>35</v>
      </c>
      <c r="P92" s="1" t="str">
        <f>[2]!DEC2HEX((J92*(5000+19.5*(O92+5))-513)/1.379)</f>
        <v>288</v>
      </c>
      <c r="Q92" s="1" t="str">
        <f>[2]!DEC2HEX((J92*(5000+19.5*(H92+5))-513)/1.379)</f>
        <v>277</v>
      </c>
      <c r="R92" s="1" t="str">
        <f>[2]!DEC2HEX((J92*(5000+19.5*(H92-5))-513)/1.379)</f>
        <v>255</v>
      </c>
      <c r="S92" s="12">
        <f t="shared" si="12"/>
        <v>30</v>
      </c>
      <c r="W92" s="4">
        <v>5.05</v>
      </c>
      <c r="Y92" s="25">
        <f>[2]!HEX2DEC(P92)</f>
        <v>648</v>
      </c>
      <c r="Z92" s="18">
        <f>1.379*[2]!HEX2DEC(P92)+513</f>
        <v>1406.592</v>
      </c>
    </row>
    <row r="93" spans="1:26" ht="12.75">
      <c r="A93" s="137"/>
      <c r="B93" s="139" t="s">
        <v>61</v>
      </c>
      <c r="C93" s="2" t="s">
        <v>64</v>
      </c>
      <c r="D93" s="1" t="s">
        <v>37</v>
      </c>
      <c r="E93" s="12">
        <f t="shared" si="10"/>
        <v>17.639630201750435</v>
      </c>
      <c r="F93" s="13">
        <f>(1.379*[2]!HEX2DEC(D93)+513)/J93</f>
        <v>6327.891225934966</v>
      </c>
      <c r="G93" s="1">
        <v>264</v>
      </c>
      <c r="H93" s="12">
        <v>25.5</v>
      </c>
      <c r="I93" s="13">
        <f>(1.379*[2]!HEX2DEC(G93)+513)/J93</f>
        <v>5490.875</v>
      </c>
      <c r="J93" s="16">
        <f>(1.379*[2]!HEX2DEC(G93)+513)/((H93*19.25)+5000)</f>
        <v>0.2471278257108384</v>
      </c>
      <c r="K93" s="14">
        <v>30.3</v>
      </c>
      <c r="L93" s="14">
        <f t="shared" si="14"/>
        <v>-4.800000000000001</v>
      </c>
      <c r="M93" s="12">
        <f t="shared" si="13"/>
        <v>5583.275</v>
      </c>
      <c r="N93" s="12">
        <f t="shared" si="11"/>
        <v>92.39999999999964</v>
      </c>
      <c r="O93" s="12">
        <v>35</v>
      </c>
      <c r="P93" s="1" t="str">
        <f>[2]!DEC2HEX((J93*(5000+19.5*(O93+5))-513)/1.379)</f>
        <v>297</v>
      </c>
      <c r="Q93" s="1" t="str">
        <f>[2]!DEC2HEX((J93*(5000+19.5*(H93+5))-513)/1.379)</f>
        <v>276</v>
      </c>
      <c r="R93" s="1" t="str">
        <f>[2]!DEC2HEX((J93*(5000+19.5*(H93-5))-513)/1.379)</f>
        <v>253</v>
      </c>
      <c r="S93" s="12">
        <f t="shared" si="12"/>
        <v>25.5</v>
      </c>
      <c r="W93" s="4">
        <v>5</v>
      </c>
      <c r="Y93" s="25">
        <f>[2]!HEX2DEC(P93)</f>
        <v>663</v>
      </c>
      <c r="Z93" s="18">
        <f>1.379*[2]!HEX2DEC(P93)+513</f>
        <v>1427.277</v>
      </c>
    </row>
    <row r="94" spans="1:26" ht="12.75">
      <c r="A94" s="137"/>
      <c r="B94" s="139"/>
      <c r="C94" s="2" t="s">
        <v>65</v>
      </c>
      <c r="D94" s="1" t="s">
        <v>38</v>
      </c>
      <c r="E94" s="12">
        <f t="shared" si="10"/>
        <v>17.740164242343496</v>
      </c>
      <c r="F94" s="13">
        <f>(1.379*[2]!HEX2DEC(D94)+513)/J94</f>
        <v>6301.596029821797</v>
      </c>
      <c r="G94" s="1">
        <v>267</v>
      </c>
      <c r="H94" s="12">
        <v>29</v>
      </c>
      <c r="I94" s="13">
        <f>(1.379*[2]!HEX2DEC(G94)+513)/J94</f>
        <v>5558.25</v>
      </c>
      <c r="J94" s="16">
        <f>(1.379*[2]!HEX2DEC(G94)+513)/((H94*19.25)+5000)</f>
        <v>0.24487653488058292</v>
      </c>
      <c r="K94" s="14">
        <v>32.1</v>
      </c>
      <c r="L94" s="14">
        <f t="shared" si="14"/>
        <v>-3.1000000000000014</v>
      </c>
      <c r="M94" s="12">
        <f t="shared" si="13"/>
        <v>5617.925</v>
      </c>
      <c r="N94" s="12">
        <f t="shared" si="11"/>
        <v>59.67500000000018</v>
      </c>
      <c r="O94" s="12">
        <v>35</v>
      </c>
      <c r="P94" s="1" t="str">
        <f>[2]!DEC2HEX((J94*(5000+19.5*(O94+5))-513)/1.379)</f>
        <v>28E</v>
      </c>
      <c r="Q94" s="1" t="str">
        <f>[2]!DEC2HEX((J94*(5000+19.5*(H94+5))-513)/1.379)</f>
        <v>279</v>
      </c>
      <c r="R94" s="1" t="str">
        <f>[2]!DEC2HEX((J94*(5000+19.5*(H94-5))-513)/1.379)</f>
        <v>256</v>
      </c>
      <c r="S94" s="12">
        <f t="shared" si="12"/>
        <v>29</v>
      </c>
      <c r="W94" s="4">
        <v>5.08</v>
      </c>
      <c r="Y94" s="25">
        <f>[2]!HEX2DEC(P94)</f>
        <v>654</v>
      </c>
      <c r="Z94" s="18">
        <f>1.379*[2]!HEX2DEC(P94)+513</f>
        <v>1414.866</v>
      </c>
    </row>
    <row r="95" spans="1:26" ht="12.75">
      <c r="A95" s="137"/>
      <c r="B95" s="139"/>
      <c r="C95" s="2" t="s">
        <v>66</v>
      </c>
      <c r="D95" s="1" t="s">
        <v>39</v>
      </c>
      <c r="E95" s="12">
        <f t="shared" si="10"/>
        <v>19.074950836295443</v>
      </c>
      <c r="F95" s="13">
        <f>(1.379*[2]!HEX2DEC(D95)+513)/J95</f>
        <v>5964.27802439588</v>
      </c>
      <c r="G95" s="1" t="s">
        <v>1</v>
      </c>
      <c r="H95" s="12">
        <v>30</v>
      </c>
      <c r="I95" s="13">
        <f>(1.379*[2]!HEX2DEC(G95)+513)/J95</f>
        <v>5577.5</v>
      </c>
      <c r="J95" s="16">
        <f>(1.379*[2]!HEX2DEC(G95)+513)/((H95*19.25)+5000)</f>
        <v>0.2460093231734648</v>
      </c>
      <c r="K95" s="14">
        <v>33.15</v>
      </c>
      <c r="L95" s="14">
        <f t="shared" si="14"/>
        <v>-3.1499999999999986</v>
      </c>
      <c r="M95" s="12">
        <f t="shared" si="13"/>
        <v>5638.137500000001</v>
      </c>
      <c r="N95" s="12">
        <f t="shared" si="11"/>
        <v>60.63750000000073</v>
      </c>
      <c r="O95" s="12">
        <v>35</v>
      </c>
      <c r="P95" s="1" t="str">
        <f>[2]!DEC2HEX((J95*(5000+19.5*(O95+5))-513)/1.379)</f>
        <v>293</v>
      </c>
      <c r="Q95" s="1" t="str">
        <f>[2]!DEC2HEX((J95*(5000+19.5*(H95+5))-513)/1.379)</f>
        <v>281</v>
      </c>
      <c r="R95" s="1" t="str">
        <f>[2]!DEC2HEX((J95*(5000+19.5*(H95-5))-513)/1.379)</f>
        <v>25E</v>
      </c>
      <c r="S95" s="12">
        <f t="shared" si="12"/>
        <v>30</v>
      </c>
      <c r="W95" s="4">
        <v>5.25</v>
      </c>
      <c r="Y95" s="25">
        <f>[2]!HEX2DEC(P95)</f>
        <v>659</v>
      </c>
      <c r="Z95" s="18">
        <f>1.379*[2]!HEX2DEC(P95)+513</f>
        <v>1421.761</v>
      </c>
    </row>
    <row r="96" spans="1:26" ht="12.75">
      <c r="A96" s="137"/>
      <c r="B96" s="139"/>
      <c r="C96" s="2" t="s">
        <v>67</v>
      </c>
      <c r="D96" s="1">
        <v>294</v>
      </c>
      <c r="E96" s="12">
        <f t="shared" si="10"/>
        <v>19.682090332529015</v>
      </c>
      <c r="F96" s="13">
        <f>(1.379*[2]!HEX2DEC(D96)+513)/J96</f>
        <v>5817.845588580689</v>
      </c>
      <c r="G96" s="1">
        <v>268</v>
      </c>
      <c r="H96" s="12">
        <v>29.6</v>
      </c>
      <c r="I96" s="13">
        <f>(1.379*[2]!HEX2DEC(G96)+513)/J96</f>
        <v>5569.8</v>
      </c>
      <c r="J96" s="16">
        <f>(1.379*[2]!HEX2DEC(G96)+513)/((H96*19.25)+5000)</f>
        <v>0.24461632374591546</v>
      </c>
      <c r="K96" s="14">
        <v>31.8</v>
      </c>
      <c r="L96" s="14">
        <f t="shared" si="14"/>
        <v>-2.1999999999999993</v>
      </c>
      <c r="M96" s="12">
        <f t="shared" si="13"/>
        <v>5612.150000000001</v>
      </c>
      <c r="N96" s="12">
        <f t="shared" si="11"/>
        <v>42.350000000000364</v>
      </c>
      <c r="O96" s="12">
        <v>35</v>
      </c>
      <c r="P96" s="1" t="str">
        <f>[2]!DEC2HEX((J96*(5000+19.5*(O96+5))-513)/1.379)</f>
        <v>28D</v>
      </c>
      <c r="Q96" s="1" t="str">
        <f>[2]!DEC2HEX((J96*(5000+19.5*(H96+5))-513)/1.379)</f>
        <v>27A</v>
      </c>
      <c r="R96" s="1" t="str">
        <f>[2]!DEC2HEX((J96*(5000+19.5*(H96-5))-513)/1.379)</f>
        <v>258</v>
      </c>
      <c r="S96" s="12">
        <f t="shared" si="12"/>
        <v>29.60000000000001</v>
      </c>
      <c r="W96" s="4">
        <v>5.4</v>
      </c>
      <c r="Y96" s="25">
        <f>[2]!HEX2DEC(P96)</f>
        <v>653</v>
      </c>
      <c r="Z96" s="18">
        <f>1.379*[2]!HEX2DEC(P96)+513</f>
        <v>1413.487</v>
      </c>
    </row>
    <row r="97" spans="1:26" ht="12.75">
      <c r="A97" s="137"/>
      <c r="B97" s="139"/>
      <c r="C97" s="2" t="s">
        <v>68</v>
      </c>
      <c r="D97" s="1" t="s">
        <v>40</v>
      </c>
      <c r="E97" s="12">
        <f t="shared" si="10"/>
        <v>18.91888553600552</v>
      </c>
      <c r="F97" s="13">
        <f>(1.379*[2]!HEX2DEC(D97)+513)/J97</f>
        <v>6002.610569822868</v>
      </c>
      <c r="G97" s="1">
        <v>264</v>
      </c>
      <c r="H97" s="12">
        <v>30</v>
      </c>
      <c r="I97" s="13">
        <f>(1.379*[2]!HEX2DEC(G97)+513)/J97</f>
        <v>5577.5</v>
      </c>
      <c r="J97" s="16">
        <f>(1.379*[2]!HEX2DEC(G97)+513)/((H97*19.25)+5000)</f>
        <v>0.2432896458987001</v>
      </c>
      <c r="K97" s="14">
        <v>31.6</v>
      </c>
      <c r="L97" s="14">
        <f t="shared" si="14"/>
        <v>-1.6000000000000014</v>
      </c>
      <c r="M97" s="12">
        <f t="shared" si="13"/>
        <v>5608.3</v>
      </c>
      <c r="N97" s="12">
        <f t="shared" si="11"/>
        <v>30.800000000000182</v>
      </c>
      <c r="O97" s="12">
        <v>35</v>
      </c>
      <c r="P97" s="1" t="str">
        <f>[2]!DEC2HEX((J97*(5000+19.5*(O97+5))-513)/1.379)</f>
        <v>287</v>
      </c>
      <c r="Q97" s="1" t="str">
        <f>[2]!DEC2HEX((J97*(5000+19.5*(H97+5))-513)/1.379)</f>
        <v>276</v>
      </c>
      <c r="R97" s="1" t="str">
        <f>[2]!DEC2HEX((J97*(5000+19.5*(H97-5))-513)/1.379)</f>
        <v>254</v>
      </c>
      <c r="S97" s="12">
        <f t="shared" si="12"/>
        <v>30</v>
      </c>
      <c r="W97" s="4">
        <v>5.21</v>
      </c>
      <c r="Y97" s="25">
        <f>[2]!HEX2DEC(P97)</f>
        <v>647</v>
      </c>
      <c r="Z97" s="18">
        <f>1.379*[2]!HEX2DEC(P97)+513</f>
        <v>1405.213</v>
      </c>
    </row>
    <row r="98" spans="1:26" ht="12.75">
      <c r="A98" s="137"/>
      <c r="B98" s="139"/>
      <c r="C98" s="2" t="s">
        <v>69</v>
      </c>
      <c r="D98" s="1">
        <v>297</v>
      </c>
      <c r="E98" s="12">
        <f t="shared" si="10"/>
        <v>19.438084604912376</v>
      </c>
      <c r="F98" s="13">
        <f>(1.379*[2]!HEX2DEC(D98)+513)/J98</f>
        <v>5876.185886961475</v>
      </c>
      <c r="G98" s="1" t="s">
        <v>31</v>
      </c>
      <c r="H98" s="12">
        <v>29</v>
      </c>
      <c r="I98" s="13">
        <f>(1.379*[2]!HEX2DEC(G98)+513)/J98</f>
        <v>5558.25</v>
      </c>
      <c r="J98" s="16">
        <f>(1.379*[2]!HEX2DEC(G98)+513)/((H98*19.25)+5000)</f>
        <v>0.24289173750730894</v>
      </c>
      <c r="K98" s="14">
        <v>30.8</v>
      </c>
      <c r="L98" s="14">
        <f t="shared" si="14"/>
        <v>-1.8000000000000007</v>
      </c>
      <c r="M98" s="12">
        <f t="shared" si="13"/>
        <v>5592.9</v>
      </c>
      <c r="N98" s="12">
        <f t="shared" si="11"/>
        <v>34.649999999999636</v>
      </c>
      <c r="O98" s="12">
        <v>35</v>
      </c>
      <c r="P98" s="1" t="str">
        <f>[2]!DEC2HEX((J98*(5000+19.5*(O98+5))-513)/1.379)</f>
        <v>286</v>
      </c>
      <c r="Q98" s="1" t="str">
        <f>[2]!DEC2HEX((J98*(5000+19.5*(H98+5))-513)/1.379)</f>
        <v>271</v>
      </c>
      <c r="R98" s="1" t="str">
        <f>[2]!DEC2HEX((J98*(5000+19.5*(H98-5))-513)/1.379)</f>
        <v>24F</v>
      </c>
      <c r="S98" s="12">
        <f t="shared" si="12"/>
        <v>29</v>
      </c>
      <c r="W98" s="4">
        <v>4.87</v>
      </c>
      <c r="Y98" s="25">
        <f>[2]!HEX2DEC(P98)</f>
        <v>646</v>
      </c>
      <c r="Z98" s="18">
        <f>1.379*[2]!HEX2DEC(P98)+513</f>
        <v>1403.8339999999998</v>
      </c>
    </row>
    <row r="99" spans="1:26" ht="12.75" customHeight="1">
      <c r="A99" s="137">
        <v>8</v>
      </c>
      <c r="B99" s="138" t="s">
        <v>62</v>
      </c>
      <c r="C99" s="2" t="s">
        <v>64</v>
      </c>
      <c r="D99" s="1">
        <v>290</v>
      </c>
      <c r="E99" s="12">
        <f aca="true" t="shared" si="15" ref="E99:E130">(3500/(LN(F99/4700)+11.745))-273</f>
        <v>19.879701155121893</v>
      </c>
      <c r="F99" s="13">
        <f>(1.379*[2]!HEX2DEC(D99)+513)/J99</f>
        <v>5771.093107484103</v>
      </c>
      <c r="G99" s="1">
        <v>267</v>
      </c>
      <c r="H99" s="12">
        <v>28.1</v>
      </c>
      <c r="I99" s="13">
        <f>(1.379*[2]!HEX2DEC(G99)+513)/J99</f>
        <v>5540.925</v>
      </c>
      <c r="J99" s="16">
        <f>(1.379*[2]!HEX2DEC(G99)+513)/((H99*19.25)+5000)</f>
        <v>0.2456421987303564</v>
      </c>
      <c r="K99" s="14">
        <v>32.8</v>
      </c>
      <c r="L99" s="14">
        <f t="shared" si="14"/>
        <v>-4.699999999999996</v>
      </c>
      <c r="M99" s="12">
        <f t="shared" si="13"/>
        <v>5631.4</v>
      </c>
      <c r="N99" s="12">
        <f aca="true" t="shared" si="16" ref="N99:N130">M99-I99</f>
        <v>90.47499999999945</v>
      </c>
      <c r="O99" s="12">
        <v>35</v>
      </c>
      <c r="P99" s="1" t="str">
        <f>[2]!DEC2HEX((J99*(5000+19.5*(O99+5))-513)/1.379)</f>
        <v>291</v>
      </c>
      <c r="Q99" s="1" t="str">
        <f>[2]!DEC2HEX((J99*(5000+19.5*(H99+5))-513)/1.379)</f>
        <v>279</v>
      </c>
      <c r="R99" s="1" t="str">
        <f>[2]!DEC2HEX((J99*(5000+19.5*(H99-5))-513)/1.379)</f>
        <v>256</v>
      </c>
      <c r="S99" s="12">
        <f aca="true" t="shared" si="17" ref="S99:S134">(I99-5000)/19.25</f>
        <v>28.10000000000001</v>
      </c>
      <c r="W99" s="4">
        <v>5.29</v>
      </c>
      <c r="Y99" s="25">
        <f>[2]!HEX2DEC(P99)</f>
        <v>657</v>
      </c>
      <c r="Z99" s="18">
        <f>1.379*[2]!HEX2DEC(P99)+513</f>
        <v>1419.0030000000002</v>
      </c>
    </row>
    <row r="100" spans="1:26" ht="12.75">
      <c r="A100" s="137"/>
      <c r="B100" s="138"/>
      <c r="C100" s="2" t="s">
        <v>65</v>
      </c>
      <c r="D100" s="1">
        <v>262</v>
      </c>
      <c r="E100" s="12">
        <f t="shared" si="15"/>
        <v>20.989515556863523</v>
      </c>
      <c r="F100" s="13">
        <f>(1.379*[2]!HEX2DEC(D100)+513)/J100</f>
        <v>5516.529610077472</v>
      </c>
      <c r="G100" s="1">
        <v>266</v>
      </c>
      <c r="H100" s="12">
        <v>28</v>
      </c>
      <c r="I100" s="13">
        <f>(1.379*[2]!HEX2DEC(G100)+513)/J100</f>
        <v>5539</v>
      </c>
      <c r="J100" s="16">
        <f>(1.379*[2]!HEX2DEC(G100)+513)/((H100*19.25)+5000)</f>
        <v>0.24547860624661494</v>
      </c>
      <c r="K100" s="14">
        <v>34.7</v>
      </c>
      <c r="L100" s="14">
        <f t="shared" si="14"/>
        <v>-6.700000000000003</v>
      </c>
      <c r="M100" s="12">
        <f t="shared" si="13"/>
        <v>5667.975</v>
      </c>
      <c r="N100" s="12">
        <f t="shared" si="16"/>
        <v>128.97500000000036</v>
      </c>
      <c r="O100" s="12">
        <v>35</v>
      </c>
      <c r="P100" s="1" t="str">
        <f>[2]!DEC2HEX((J100*(5000+19.5*(O100+5))-513)/1.379)</f>
        <v>290</v>
      </c>
      <c r="Q100" s="1" t="str">
        <f>[2]!DEC2HEX((J100*(5000+19.5*(H100+5))-513)/1.379)</f>
        <v>278</v>
      </c>
      <c r="R100" s="1" t="str">
        <f>[2]!DEC2HEX((J100*(5000+19.5*(H100-5))-513)/1.379)</f>
        <v>255</v>
      </c>
      <c r="S100" s="12">
        <f t="shared" si="17"/>
        <v>28</v>
      </c>
      <c r="W100" s="4">
        <v>5.02</v>
      </c>
      <c r="Y100" s="25">
        <f>[2]!HEX2DEC(P100)</f>
        <v>656</v>
      </c>
      <c r="Z100" s="18">
        <f>1.379*[2]!HEX2DEC(P100)+513</f>
        <v>1417.624</v>
      </c>
    </row>
    <row r="101" spans="1:26" s="18" customFormat="1" ht="12.75">
      <c r="A101" s="137"/>
      <c r="B101" s="138"/>
      <c r="C101" s="18" t="s">
        <v>66</v>
      </c>
      <c r="D101" s="20" t="s">
        <v>50</v>
      </c>
      <c r="E101" s="21">
        <f t="shared" si="15"/>
        <v>20.73204969703187</v>
      </c>
      <c r="F101" s="13">
        <f>(1.379*[2]!HEX2DEC(D101)+513)/J101</f>
        <v>5574.397604886643</v>
      </c>
      <c r="G101" s="20">
        <v>266</v>
      </c>
      <c r="H101" s="21">
        <v>23.8</v>
      </c>
      <c r="I101" s="13">
        <f>(1.379*[2]!HEX2DEC(G101)+513)/J101</f>
        <v>5458.15</v>
      </c>
      <c r="J101" s="16">
        <f>(1.379*[2]!HEX2DEC(G101)+513)/((H101*19.25)+5000)</f>
        <v>0.24911480996308277</v>
      </c>
      <c r="K101" s="22">
        <v>30.27</v>
      </c>
      <c r="L101" s="22">
        <f t="shared" si="14"/>
        <v>-6.469999999999999</v>
      </c>
      <c r="M101" s="12">
        <f t="shared" si="13"/>
        <v>5582.6975</v>
      </c>
      <c r="N101" s="12">
        <f t="shared" si="16"/>
        <v>124.54750000000058</v>
      </c>
      <c r="O101" s="12">
        <v>35</v>
      </c>
      <c r="P101" s="1" t="str">
        <f>[2]!DEC2HEX((J101*(5000+19.5*(O101+5))-513)/1.379)</f>
        <v>2A0</v>
      </c>
      <c r="Q101" s="1" t="str">
        <f>[2]!DEC2HEX((J101*(5000+19.5*(H101+5))-513)/1.379)</f>
        <v>278</v>
      </c>
      <c r="R101" s="1" t="str">
        <f>[2]!DEC2HEX((J101*(5000+19.5*(H101-5))-513)/1.379)</f>
        <v>255</v>
      </c>
      <c r="S101" s="21">
        <f t="shared" si="17"/>
        <v>23.79999999999998</v>
      </c>
      <c r="W101" s="24">
        <v>4.87</v>
      </c>
      <c r="Y101" s="25">
        <f>[2]!HEX2DEC(P101)</f>
        <v>672</v>
      </c>
      <c r="Z101" s="18">
        <f>1.379*[2]!HEX2DEC(P101)+513</f>
        <v>1439.688</v>
      </c>
    </row>
    <row r="102" spans="1:26" ht="12.75">
      <c r="A102" s="137"/>
      <c r="B102" s="138"/>
      <c r="C102" s="2" t="s">
        <v>67</v>
      </c>
      <c r="D102" s="1" t="s">
        <v>51</v>
      </c>
      <c r="E102" s="12">
        <f t="shared" si="15"/>
        <v>19.16383666074904</v>
      </c>
      <c r="F102" s="13">
        <f>(1.379*[2]!HEX2DEC(D102)+513)/J102</f>
        <v>5942.573701245897</v>
      </c>
      <c r="G102" s="1">
        <v>258</v>
      </c>
      <c r="H102" s="12">
        <v>27.4</v>
      </c>
      <c r="I102" s="13">
        <f>(1.379*[2]!HEX2DEC(G102)+513)/J102</f>
        <v>5527.45</v>
      </c>
      <c r="J102" s="16">
        <f>(1.379*[2]!HEX2DEC(G102)+513)/((H102*19.25)+5000)</f>
        <v>0.2424988014364671</v>
      </c>
      <c r="K102" s="14">
        <v>30.5</v>
      </c>
      <c r="L102" s="14">
        <f t="shared" si="14"/>
        <v>-3.1000000000000014</v>
      </c>
      <c r="M102" s="12">
        <f t="shared" si="13"/>
        <v>5587.125</v>
      </c>
      <c r="N102" s="12">
        <f t="shared" si="16"/>
        <v>59.67500000000018</v>
      </c>
      <c r="O102" s="12">
        <v>35</v>
      </c>
      <c r="P102" s="1" t="str">
        <f>[2]!DEC2HEX((J102*(5000+19.5*(O102+5))-513)/1.379)</f>
        <v>284</v>
      </c>
      <c r="Q102" s="1" t="str">
        <f>[2]!DEC2HEX((J102*(5000+19.5*(H102+5))-513)/1.379)</f>
        <v>26A</v>
      </c>
      <c r="R102" s="1" t="str">
        <f>[2]!DEC2HEX((J102*(5000+19.5*(H102-5))-513)/1.379)</f>
        <v>248</v>
      </c>
      <c r="S102" s="12">
        <f t="shared" si="17"/>
        <v>27.39999999999999</v>
      </c>
      <c r="W102" s="4">
        <v>4.44</v>
      </c>
      <c r="Y102" s="25">
        <f>[2]!HEX2DEC(P102)</f>
        <v>644</v>
      </c>
      <c r="Z102" s="18">
        <f>1.379*[2]!HEX2DEC(P102)+513</f>
        <v>1401.076</v>
      </c>
    </row>
    <row r="103" spans="1:26" ht="12.75">
      <c r="A103" s="137"/>
      <c r="B103" s="138"/>
      <c r="C103" s="2" t="s">
        <v>68</v>
      </c>
      <c r="D103" s="1">
        <v>263</v>
      </c>
      <c r="E103" s="12">
        <f t="shared" si="15"/>
        <v>21.02929192710377</v>
      </c>
      <c r="F103" s="13">
        <f>(1.379*[2]!HEX2DEC(D103)+513)/J103</f>
        <v>5507.652184708631</v>
      </c>
      <c r="G103" s="1" t="s">
        <v>16</v>
      </c>
      <c r="H103" s="12">
        <v>28.7</v>
      </c>
      <c r="I103" s="13">
        <f>(1.379*[2]!HEX2DEC(G103)+513)/J103</f>
        <v>5552.475</v>
      </c>
      <c r="J103" s="16">
        <f>(1.379*[2]!HEX2DEC(G103)+513)/((H103*19.25)+5000)</f>
        <v>0.24612465612181955</v>
      </c>
      <c r="K103" s="14">
        <v>34.6</v>
      </c>
      <c r="L103" s="14">
        <f t="shared" si="14"/>
        <v>-5.900000000000002</v>
      </c>
      <c r="M103" s="12">
        <f t="shared" si="13"/>
        <v>5666.05</v>
      </c>
      <c r="N103" s="12">
        <f t="shared" si="16"/>
        <v>113.57499999999982</v>
      </c>
      <c r="O103" s="12">
        <v>35</v>
      </c>
      <c r="P103" s="1" t="str">
        <f>[2]!DEC2HEX((J103*(5000+19.5*(O103+5))-513)/1.379)</f>
        <v>293</v>
      </c>
      <c r="Q103" s="1" t="str">
        <f>[2]!DEC2HEX((J103*(5000+19.5*(H103+5))-513)/1.379)</f>
        <v>27D</v>
      </c>
      <c r="R103" s="1" t="str">
        <f>[2]!DEC2HEX((J103*(5000+19.5*(H103-5))-513)/1.379)</f>
        <v>25A</v>
      </c>
      <c r="S103" s="12">
        <f t="shared" si="17"/>
        <v>28.70000000000002</v>
      </c>
      <c r="W103" s="4">
        <v>5.01</v>
      </c>
      <c r="Y103" s="25">
        <f>[2]!HEX2DEC(P103)</f>
        <v>659</v>
      </c>
      <c r="Z103" s="18">
        <f>1.379*[2]!HEX2DEC(P103)+513</f>
        <v>1421.761</v>
      </c>
    </row>
    <row r="104" spans="1:26" ht="12.75">
      <c r="A104" s="137"/>
      <c r="B104" s="138"/>
      <c r="C104" s="2" t="s">
        <v>69</v>
      </c>
      <c r="D104" s="1">
        <v>254</v>
      </c>
      <c r="E104" s="12">
        <f t="shared" si="15"/>
        <v>21.17580518441065</v>
      </c>
      <c r="F104" s="13">
        <f>(1.379*[2]!HEX2DEC(D104)+513)/J104</f>
        <v>5475.096472825841</v>
      </c>
      <c r="G104" s="1">
        <v>261</v>
      </c>
      <c r="H104" s="12">
        <v>28.5</v>
      </c>
      <c r="I104" s="13">
        <f>(1.379*[2]!HEX2DEC(G104)+513)/J104</f>
        <v>5548.625</v>
      </c>
      <c r="J104" s="16">
        <f>(1.379*[2]!HEX2DEC(G104)+513)/((H104*19.25)+5000)</f>
        <v>0.24381013314109354</v>
      </c>
      <c r="K104" s="14">
        <v>34.3</v>
      </c>
      <c r="L104" s="14">
        <f t="shared" si="14"/>
        <v>-5.799999999999997</v>
      </c>
      <c r="M104" s="12">
        <f t="shared" si="13"/>
        <v>5660.275000000001</v>
      </c>
      <c r="N104" s="12">
        <f t="shared" si="16"/>
        <v>111.65000000000055</v>
      </c>
      <c r="O104" s="12">
        <v>35</v>
      </c>
      <c r="P104" s="1" t="str">
        <f>[2]!DEC2HEX((J104*(5000+19.5*(O104+5))-513)/1.379)</f>
        <v>289</v>
      </c>
      <c r="Q104" s="1" t="str">
        <f>[2]!DEC2HEX((J104*(5000+19.5*(H104+5))-513)/1.379)</f>
        <v>273</v>
      </c>
      <c r="R104" s="1" t="str">
        <f>[2]!DEC2HEX((J104*(5000+19.5*(H104-5))-513)/1.379)</f>
        <v>251</v>
      </c>
      <c r="S104" s="12">
        <f t="shared" si="17"/>
        <v>28.5</v>
      </c>
      <c r="W104" s="4">
        <v>4.81</v>
      </c>
      <c r="Y104" s="25">
        <f>[2]!HEX2DEC(P104)</f>
        <v>649</v>
      </c>
      <c r="Z104" s="18">
        <f>1.379*[2]!HEX2DEC(P104)+513</f>
        <v>1407.971</v>
      </c>
    </row>
    <row r="105" spans="1:26" ht="12.75">
      <c r="A105" s="137"/>
      <c r="B105" s="139" t="s">
        <v>61</v>
      </c>
      <c r="C105" s="2" t="s">
        <v>64</v>
      </c>
      <c r="D105" s="1" t="s">
        <v>44</v>
      </c>
      <c r="E105" s="12">
        <f t="shared" si="15"/>
        <v>17.046450314785545</v>
      </c>
      <c r="F105" s="13">
        <f>(1.379*[2]!HEX2DEC(D105)+513)/J105</f>
        <v>6485.670514505337</v>
      </c>
      <c r="G105" s="1">
        <v>268</v>
      </c>
      <c r="H105" s="12">
        <v>25.5</v>
      </c>
      <c r="I105" s="13">
        <f>(1.379*[2]!HEX2DEC(G105)+513)/J105</f>
        <v>5490.875</v>
      </c>
      <c r="J105" s="16">
        <f>(1.379*[2]!HEX2DEC(G105)+513)/((H105*19.25)+5000)</f>
        <v>0.24813240148428073</v>
      </c>
      <c r="K105" s="14">
        <v>30.7</v>
      </c>
      <c r="L105" s="14">
        <f t="shared" si="14"/>
        <v>-5.199999999999999</v>
      </c>
      <c r="M105" s="12">
        <f t="shared" si="13"/>
        <v>5590.974999999999</v>
      </c>
      <c r="N105" s="12">
        <f t="shared" si="16"/>
        <v>100.09999999999945</v>
      </c>
      <c r="O105" s="12">
        <v>35</v>
      </c>
      <c r="P105" s="1" t="str">
        <f>[2]!DEC2HEX((J105*(5000+19.5*(O105+5))-513)/1.379)</f>
        <v>29C</v>
      </c>
      <c r="Q105" s="1" t="str">
        <f>[2]!DEC2HEX((J105*(5000+19.5*(H105+5))-513)/1.379)</f>
        <v>27A</v>
      </c>
      <c r="R105" s="1" t="str">
        <f>[2]!DEC2HEX((J105*(5000+19.5*(H105-5))-513)/1.379)</f>
        <v>257</v>
      </c>
      <c r="S105" s="12">
        <f t="shared" si="17"/>
        <v>25.5</v>
      </c>
      <c r="W105" s="4">
        <v>4.79</v>
      </c>
      <c r="Y105" s="25">
        <f>[2]!HEX2DEC(P105)</f>
        <v>668</v>
      </c>
      <c r="Z105" s="18">
        <f>1.379*[2]!HEX2DEC(P105)+513</f>
        <v>1434.172</v>
      </c>
    </row>
    <row r="106" spans="1:26" s="18" customFormat="1" ht="12.75">
      <c r="A106" s="137"/>
      <c r="B106" s="139"/>
      <c r="C106" s="18" t="s">
        <v>65</v>
      </c>
      <c r="D106" s="20" t="s">
        <v>45</v>
      </c>
      <c r="E106" s="21">
        <f t="shared" si="15"/>
        <v>17.83226656173298</v>
      </c>
      <c r="F106" s="13">
        <f>(1.379*[2]!HEX2DEC(D106)+513)/J106</f>
        <v>6277.617973499077</v>
      </c>
      <c r="G106" s="20">
        <v>272</v>
      </c>
      <c r="H106" s="21">
        <v>26</v>
      </c>
      <c r="I106" s="13">
        <f>(1.379*[2]!HEX2DEC(G106)+513)/J106</f>
        <v>5500.499999999999</v>
      </c>
      <c r="J106" s="16">
        <f>(1.379*[2]!HEX2DEC(G106)+513)/((H106*19.25)+5000)</f>
        <v>0.250205254067812</v>
      </c>
      <c r="K106" s="22">
        <v>32.8</v>
      </c>
      <c r="L106" s="22">
        <f t="shared" si="14"/>
        <v>-6.799999999999997</v>
      </c>
      <c r="M106" s="12">
        <f t="shared" si="13"/>
        <v>5631.4</v>
      </c>
      <c r="N106" s="12">
        <f t="shared" si="16"/>
        <v>130.90000000000055</v>
      </c>
      <c r="O106" s="12">
        <v>35</v>
      </c>
      <c r="P106" s="1" t="str">
        <f>[2]!DEC2HEX((J106*(5000+19.5*(O106+5))-513)/1.379)</f>
        <v>2A4</v>
      </c>
      <c r="Q106" s="1" t="str">
        <f>[2]!DEC2HEX((J106*(5000+19.5*(H106+5))-513)/1.379)</f>
        <v>284</v>
      </c>
      <c r="R106" s="1" t="str">
        <f>[2]!DEC2HEX((J106*(5000+19.5*(H106-5))-513)/1.379)</f>
        <v>261</v>
      </c>
      <c r="S106" s="21">
        <f t="shared" si="17"/>
        <v>25.999999999999954</v>
      </c>
      <c r="W106" s="24">
        <v>4.44</v>
      </c>
      <c r="Y106" s="25">
        <f>[2]!HEX2DEC(P106)</f>
        <v>676</v>
      </c>
      <c r="Z106" s="18">
        <f>1.379*[2]!HEX2DEC(P106)+513</f>
        <v>1445.204</v>
      </c>
    </row>
    <row r="107" spans="1:26" ht="12.75">
      <c r="A107" s="137"/>
      <c r="B107" s="139"/>
      <c r="C107" s="2" t="s">
        <v>66</v>
      </c>
      <c r="D107" s="1" t="s">
        <v>46</v>
      </c>
      <c r="E107" s="12">
        <f t="shared" si="15"/>
        <v>18.689464958237238</v>
      </c>
      <c r="F107" s="13">
        <f>(1.379*[2]!HEX2DEC(D107)+513)/J107</f>
        <v>6059.483680267349</v>
      </c>
      <c r="G107" s="1">
        <v>254</v>
      </c>
      <c r="H107" s="12">
        <v>26.1</v>
      </c>
      <c r="I107" s="13">
        <f>(1.379*[2]!HEX2DEC(G107)+513)/J107</f>
        <v>5502.425</v>
      </c>
      <c r="J107" s="16">
        <f>(1.379*[2]!HEX2DEC(G107)+513)/((H107*19.25)+5000)</f>
        <v>0.24259921761768674</v>
      </c>
      <c r="K107" s="14">
        <v>30.7</v>
      </c>
      <c r="L107" s="14">
        <f t="shared" si="14"/>
        <v>-4.599999999999998</v>
      </c>
      <c r="M107" s="12">
        <f t="shared" si="13"/>
        <v>5590.974999999999</v>
      </c>
      <c r="N107" s="12">
        <f t="shared" si="16"/>
        <v>88.54999999999927</v>
      </c>
      <c r="O107" s="12">
        <v>35</v>
      </c>
      <c r="P107" s="1" t="str">
        <f>[2]!DEC2HEX((J107*(5000+19.5*(O107+5))-513)/1.379)</f>
        <v>284</v>
      </c>
      <c r="Q107" s="1" t="str">
        <f>[2]!DEC2HEX((J107*(5000+19.5*(H107+5))-513)/1.379)</f>
        <v>266</v>
      </c>
      <c r="R107" s="1" t="str">
        <f>[2]!DEC2HEX((J107*(5000+19.5*(H107-5))-513)/1.379)</f>
        <v>243</v>
      </c>
      <c r="S107" s="12">
        <f t="shared" si="17"/>
        <v>26.10000000000001</v>
      </c>
      <c r="W107" s="4">
        <v>4.63</v>
      </c>
      <c r="Y107" s="25">
        <f>[2]!HEX2DEC(P107)</f>
        <v>644</v>
      </c>
      <c r="Z107" s="18">
        <f>1.379*[2]!HEX2DEC(P107)+513</f>
        <v>1401.076</v>
      </c>
    </row>
    <row r="108" spans="1:26" ht="12.75">
      <c r="A108" s="137"/>
      <c r="B108" s="139"/>
      <c r="C108" s="2" t="s">
        <v>67</v>
      </c>
      <c r="D108" s="1" t="s">
        <v>47</v>
      </c>
      <c r="E108" s="12">
        <f t="shared" si="15"/>
        <v>18.397069209977815</v>
      </c>
      <c r="F108" s="13">
        <f>(1.379*[2]!HEX2DEC(D108)+513)/J108</f>
        <v>6132.881964974263</v>
      </c>
      <c r="G108" s="1" t="s">
        <v>4</v>
      </c>
      <c r="H108" s="12">
        <v>25.3</v>
      </c>
      <c r="I108" s="13">
        <f>(1.379*[2]!HEX2DEC(G108)+513)/J108</f>
        <v>5487.025</v>
      </c>
      <c r="J108" s="16">
        <f>(1.379*[2]!HEX2DEC(G108)+513)/((H108*19.25)+5000)</f>
        <v>0.24554198313293638</v>
      </c>
      <c r="K108" s="14">
        <v>30.3</v>
      </c>
      <c r="L108" s="14">
        <f t="shared" si="14"/>
        <v>-5</v>
      </c>
      <c r="M108" s="12">
        <f t="shared" si="13"/>
        <v>5583.275</v>
      </c>
      <c r="N108" s="12">
        <f t="shared" si="16"/>
        <v>96.25</v>
      </c>
      <c r="O108" s="12">
        <v>35</v>
      </c>
      <c r="P108" s="1" t="str">
        <f>[2]!DEC2HEX((J108*(5000+19.5*(O108+5))-513)/1.379)</f>
        <v>291</v>
      </c>
      <c r="Q108" s="1" t="str">
        <f>[2]!DEC2HEX((J108*(5000+19.5*(H108+5))-513)/1.379)</f>
        <v>26F</v>
      </c>
      <c r="R108" s="1" t="str">
        <f>[2]!DEC2HEX((J108*(5000+19.5*(H108-5))-513)/1.379)</f>
        <v>24C</v>
      </c>
      <c r="S108" s="12">
        <f t="shared" si="17"/>
        <v>25.29999999999998</v>
      </c>
      <c r="W108" s="4">
        <v>4.47</v>
      </c>
      <c r="Y108" s="25">
        <f>[2]!HEX2DEC(P108)</f>
        <v>657</v>
      </c>
      <c r="Z108" s="18">
        <f>1.379*[2]!HEX2DEC(P108)+513</f>
        <v>1419.0030000000002</v>
      </c>
    </row>
    <row r="109" spans="1:26" ht="12.75">
      <c r="A109" s="137"/>
      <c r="B109" s="139"/>
      <c r="C109" s="2" t="s">
        <v>68</v>
      </c>
      <c r="D109" s="1" t="s">
        <v>48</v>
      </c>
      <c r="E109" s="12">
        <f t="shared" si="15"/>
        <v>18.922041279682958</v>
      </c>
      <c r="F109" s="13">
        <f>(1.379*[2]!HEX2DEC(D109)+513)/J109</f>
        <v>6001.832617987168</v>
      </c>
      <c r="G109" s="1">
        <v>258</v>
      </c>
      <c r="H109" s="12">
        <v>26.7</v>
      </c>
      <c r="I109" s="13">
        <f>(1.379*[2]!HEX2DEC(G109)+513)/J109</f>
        <v>5513.975</v>
      </c>
      <c r="J109" s="16">
        <f>(1.379*[2]!HEX2DEC(G109)+513)/((H109*19.25)+5000)</f>
        <v>0.24309141771589463</v>
      </c>
      <c r="K109" s="14">
        <v>30.2</v>
      </c>
      <c r="L109" s="14">
        <f t="shared" si="14"/>
        <v>-3.5</v>
      </c>
      <c r="M109" s="12">
        <f t="shared" si="13"/>
        <v>5581.35</v>
      </c>
      <c r="N109" s="12">
        <f t="shared" si="16"/>
        <v>67.375</v>
      </c>
      <c r="O109" s="12">
        <v>35</v>
      </c>
      <c r="P109" s="1" t="str">
        <f>[2]!DEC2HEX((J109*(5000+19.5*(O109+5))-513)/1.379)</f>
        <v>286</v>
      </c>
      <c r="Q109" s="1" t="str">
        <f>[2]!DEC2HEX((J109*(5000+19.5*(H109+5))-513)/1.379)</f>
        <v>26A</v>
      </c>
      <c r="R109" s="1" t="str">
        <f>[2]!DEC2HEX((J109*(5000+19.5*(H109-5))-513)/1.379)</f>
        <v>247</v>
      </c>
      <c r="S109" s="12">
        <f t="shared" si="17"/>
        <v>26.70000000000002</v>
      </c>
      <c r="W109" s="4">
        <v>3.88</v>
      </c>
      <c r="Y109" s="25">
        <f>[2]!HEX2DEC(P109)</f>
        <v>646</v>
      </c>
      <c r="Z109" s="18">
        <f>1.379*[2]!HEX2DEC(P109)+513</f>
        <v>1403.8339999999998</v>
      </c>
    </row>
    <row r="110" spans="1:26" s="18" customFormat="1" ht="12.75">
      <c r="A110" s="137"/>
      <c r="B110" s="139"/>
      <c r="C110" s="18" t="s">
        <v>69</v>
      </c>
      <c r="D110" s="20" t="s">
        <v>16</v>
      </c>
      <c r="E110" s="21">
        <f t="shared" si="15"/>
        <v>22.20271304835893</v>
      </c>
      <c r="F110" s="13">
        <f>(1.379*[2]!HEX2DEC(D110)+513)/J110</f>
        <v>5253.119585714677</v>
      </c>
      <c r="G110" s="20" t="s">
        <v>49</v>
      </c>
      <c r="H110" s="21">
        <v>32.7</v>
      </c>
      <c r="I110" s="13">
        <f>(1.379*[2]!HEX2DEC(G110)+513)/J110</f>
        <v>5629.475</v>
      </c>
      <c r="J110" s="16">
        <f>(1.379*[2]!HEX2DEC(G110)+513)/((H110*19.25)+5000)</f>
        <v>0.26015036926178725</v>
      </c>
      <c r="K110" s="22">
        <v>32.7</v>
      </c>
      <c r="L110" s="22">
        <f t="shared" si="14"/>
        <v>0</v>
      </c>
      <c r="M110" s="12">
        <f t="shared" si="13"/>
        <v>5629.475</v>
      </c>
      <c r="N110" s="12">
        <f t="shared" si="16"/>
        <v>0</v>
      </c>
      <c r="O110" s="12">
        <v>35</v>
      </c>
      <c r="P110" s="1" t="str">
        <f>[2]!DEC2HEX((J110*(5000+19.5*(O110+5))-513)/1.379)</f>
        <v>2CE</v>
      </c>
      <c r="Q110" s="1" t="str">
        <f>[2]!DEC2HEX((J110*(5000+19.5*(H110+5))-513)/1.379)</f>
        <v>2C5</v>
      </c>
      <c r="R110" s="1" t="str">
        <f>[2]!DEC2HEX((J110*(5000+19.5*(H110-5))-513)/1.379)</f>
        <v>2A1</v>
      </c>
      <c r="S110" s="21">
        <f t="shared" si="17"/>
        <v>32.70000000000002</v>
      </c>
      <c r="W110" s="24">
        <v>5.26</v>
      </c>
      <c r="X110" s="1"/>
      <c r="Y110" s="25">
        <f>[2]!HEX2DEC(P110)</f>
        <v>718</v>
      </c>
      <c r="Z110" s="18">
        <f>1.379*[2]!HEX2DEC(P110)+513</f>
        <v>1503.1219999999998</v>
      </c>
    </row>
    <row r="111" spans="1:26" ht="12.75">
      <c r="A111" s="137">
        <v>9</v>
      </c>
      <c r="B111" s="138" t="s">
        <v>62</v>
      </c>
      <c r="C111" s="2" t="s">
        <v>64</v>
      </c>
      <c r="D111" s="1" t="s">
        <v>84</v>
      </c>
      <c r="E111" s="12">
        <f t="shared" si="15"/>
        <v>18.04283238827935</v>
      </c>
      <c r="F111" s="13">
        <f>(1.379*[2]!HEX2DEC(D111)+513)/J111</f>
        <v>6223.1975340884255</v>
      </c>
      <c r="G111" s="1">
        <v>248</v>
      </c>
      <c r="H111" s="12">
        <v>23.8</v>
      </c>
      <c r="I111" s="13">
        <f>(1.379*[2]!HEX2DEC(G111)+513)/J111</f>
        <v>5458.15</v>
      </c>
      <c r="J111" s="16">
        <f>(1.379*[2]!HEX2DEC(G111)+513)/((H111*19.25)+5000)</f>
        <v>0.24153531874353035</v>
      </c>
      <c r="K111" s="14">
        <v>25.3</v>
      </c>
      <c r="L111" s="14">
        <f t="shared" si="14"/>
        <v>-1.5</v>
      </c>
      <c r="M111" s="12">
        <f t="shared" si="13"/>
        <v>5487.025</v>
      </c>
      <c r="N111" s="12">
        <f t="shared" si="16"/>
        <v>28.875</v>
      </c>
      <c r="O111" s="12">
        <v>35</v>
      </c>
      <c r="P111" s="1" t="str">
        <f>[2]!DEC2HEX((J111*(5000+19.5*(O111+5))-513)/1.379)</f>
        <v>280</v>
      </c>
      <c r="Q111" s="1" t="str">
        <f>[2]!DEC2HEX((J111*(5000+19.5*(H111+5))-513)/1.379)</f>
        <v>25A</v>
      </c>
      <c r="R111" s="1" t="str">
        <f>[2]!DEC2HEX((J111*(5000+19.5*(H111-5))-513)/1.379)</f>
        <v>237</v>
      </c>
      <c r="S111" s="12">
        <f t="shared" si="17"/>
        <v>23.79999999999998</v>
      </c>
      <c r="W111" s="4">
        <v>5.52</v>
      </c>
      <c r="Y111" s="25">
        <f>[2]!HEX2DEC(P111)</f>
        <v>640</v>
      </c>
      <c r="Z111" s="18">
        <f>1.379*[2]!HEX2DEC(P111)+513</f>
        <v>1395.56</v>
      </c>
    </row>
    <row r="112" spans="1:26" ht="12.75">
      <c r="A112" s="137"/>
      <c r="B112" s="138"/>
      <c r="C112" s="2" t="s">
        <v>65</v>
      </c>
      <c r="D112" s="1" t="s">
        <v>85</v>
      </c>
      <c r="E112" s="12">
        <f t="shared" si="15"/>
        <v>18.42568869572574</v>
      </c>
      <c r="F112" s="13">
        <f>(1.379*[2]!HEX2DEC(D112)+513)/J112</f>
        <v>6125.652180441235</v>
      </c>
      <c r="G112" s="1" t="s">
        <v>8</v>
      </c>
      <c r="H112" s="12">
        <v>29.6</v>
      </c>
      <c r="I112" s="13">
        <f>(1.379*[2]!HEX2DEC(G112)+513)/J112</f>
        <v>5569.8</v>
      </c>
      <c r="J112" s="16">
        <f>(1.379*[2]!HEX2DEC(G112)+513)/((H112*19.25)+5000)</f>
        <v>0.24560666451219074</v>
      </c>
      <c r="K112" s="14">
        <v>31.3</v>
      </c>
      <c r="L112" s="14">
        <f t="shared" si="14"/>
        <v>-1.6999999999999993</v>
      </c>
      <c r="M112" s="12">
        <f t="shared" si="13"/>
        <v>5602.525000000001</v>
      </c>
      <c r="N112" s="12">
        <f t="shared" si="16"/>
        <v>32.725000000000364</v>
      </c>
      <c r="O112" s="12">
        <v>35</v>
      </c>
      <c r="P112" s="1" t="str">
        <f>[2]!DEC2HEX((J112*(5000+19.5*(O112+5))-513)/1.379)</f>
        <v>291</v>
      </c>
      <c r="Q112" s="1" t="str">
        <f>[2]!DEC2HEX((J112*(5000+19.5*(H112+5))-513)/1.379)</f>
        <v>27E</v>
      </c>
      <c r="R112" s="1" t="str">
        <f>[2]!DEC2HEX((J112*(5000+19.5*(H112-5))-513)/1.379)</f>
        <v>25B</v>
      </c>
      <c r="S112" s="12">
        <f t="shared" si="17"/>
        <v>29.60000000000001</v>
      </c>
      <c r="W112" s="4">
        <v>5.42</v>
      </c>
      <c r="Y112" s="25">
        <f>[2]!HEX2DEC(P112)</f>
        <v>657</v>
      </c>
      <c r="Z112" s="18">
        <f>1.379*[2]!HEX2DEC(P112)+513</f>
        <v>1419.0030000000002</v>
      </c>
    </row>
    <row r="113" spans="1:26" ht="12.75">
      <c r="A113" s="137"/>
      <c r="B113" s="138"/>
      <c r="C113" s="2" t="s">
        <v>66</v>
      </c>
      <c r="D113" s="1" t="s">
        <v>86</v>
      </c>
      <c r="E113" s="12">
        <f t="shared" si="15"/>
        <v>19.315451662306884</v>
      </c>
      <c r="F113" s="13">
        <f>(1.379*[2]!HEX2DEC(D113)+513)/J113</f>
        <v>5905.764361136928</v>
      </c>
      <c r="G113" s="1">
        <v>260</v>
      </c>
      <c r="H113" s="12">
        <v>26.6</v>
      </c>
      <c r="I113" s="13">
        <f>(1.379*[2]!HEX2DEC(G113)+513)/J113</f>
        <v>5512.05</v>
      </c>
      <c r="J113" s="16">
        <f>(1.379*[2]!HEX2DEC(G113)+513)/((H113*19.25)+5000)</f>
        <v>0.24517774693625782</v>
      </c>
      <c r="K113" s="14">
        <v>27.6</v>
      </c>
      <c r="L113" s="14">
        <f t="shared" si="14"/>
        <v>-1</v>
      </c>
      <c r="M113" s="12">
        <f t="shared" si="13"/>
        <v>5531.3</v>
      </c>
      <c r="N113" s="12">
        <f t="shared" si="16"/>
        <v>19.25</v>
      </c>
      <c r="O113" s="12">
        <v>35</v>
      </c>
      <c r="P113" s="1" t="str">
        <f>[2]!DEC2HEX((J113*(5000+19.5*(O113+5))-513)/1.379)</f>
        <v>28F</v>
      </c>
      <c r="Q113" s="1" t="str">
        <f>[2]!DEC2HEX((J113*(5000+19.5*(H113+5))-513)/1.379)</f>
        <v>272</v>
      </c>
      <c r="R113" s="1" t="str">
        <f>[2]!DEC2HEX((J113*(5000+19.5*(H113-5))-513)/1.379)</f>
        <v>24F</v>
      </c>
      <c r="S113" s="12">
        <f t="shared" si="17"/>
        <v>26.60000000000001</v>
      </c>
      <c r="W113" s="4">
        <v>5.48</v>
      </c>
      <c r="Y113" s="25">
        <f>[2]!HEX2DEC(P113)</f>
        <v>655</v>
      </c>
      <c r="Z113" s="18">
        <f>1.379*[2]!HEX2DEC(P113)+513</f>
        <v>1416.245</v>
      </c>
    </row>
    <row r="114" spans="1:26" ht="12.75">
      <c r="A114" s="137"/>
      <c r="B114" s="138"/>
      <c r="C114" s="2" t="s">
        <v>67</v>
      </c>
      <c r="D114" s="1" t="s">
        <v>4</v>
      </c>
      <c r="E114" s="12">
        <f t="shared" si="15"/>
        <v>21.105652514807275</v>
      </c>
      <c r="F114" s="13">
        <f>(1.379*[2]!HEX2DEC(D114)+513)/J114</f>
        <v>5490.656490832052</v>
      </c>
      <c r="G114" s="1">
        <v>268</v>
      </c>
      <c r="H114" s="12">
        <v>28.7</v>
      </c>
      <c r="I114" s="13">
        <f>(1.379*[2]!HEX2DEC(G114)+513)/J114</f>
        <v>5552.475</v>
      </c>
      <c r="J114" s="16">
        <f>(1.379*[2]!HEX2DEC(G114)+513)/((H114*19.25)+5000)</f>
        <v>0.2453795829787617</v>
      </c>
      <c r="K114" s="14">
        <v>27.6</v>
      </c>
      <c r="L114" s="14">
        <f t="shared" si="14"/>
        <v>1.0999999999999979</v>
      </c>
      <c r="M114" s="12">
        <f t="shared" si="13"/>
        <v>5531.3</v>
      </c>
      <c r="N114" s="12">
        <f t="shared" si="16"/>
        <v>-21.175000000000182</v>
      </c>
      <c r="O114" s="12">
        <v>35</v>
      </c>
      <c r="P114" s="1" t="str">
        <f>[2]!DEC2HEX((J114*(5000+19.5*(O114+5))-513)/1.379)</f>
        <v>290</v>
      </c>
      <c r="Q114" s="1" t="str">
        <f>[2]!DEC2HEX((J114*(5000+19.5*(H114+5))-513)/1.379)</f>
        <v>27A</v>
      </c>
      <c r="R114" s="1" t="str">
        <f>[2]!DEC2HEX((J114*(5000+19.5*(H114-5))-513)/1.379)</f>
        <v>257</v>
      </c>
      <c r="S114" s="12">
        <f t="shared" si="17"/>
        <v>28.70000000000002</v>
      </c>
      <c r="W114" s="4">
        <v>5.3</v>
      </c>
      <c r="Y114" s="25">
        <f>[2]!HEX2DEC(P114)</f>
        <v>656</v>
      </c>
      <c r="Z114" s="18">
        <f>1.379*[2]!HEX2DEC(P114)+513</f>
        <v>1417.624</v>
      </c>
    </row>
    <row r="115" spans="1:26" ht="12.75">
      <c r="A115" s="137"/>
      <c r="B115" s="138"/>
      <c r="C115" s="2" t="s">
        <v>68</v>
      </c>
      <c r="D115" s="1" t="s">
        <v>86</v>
      </c>
      <c r="E115" s="12">
        <f t="shared" si="15"/>
        <v>19.006118932884306</v>
      </c>
      <c r="F115" s="13">
        <f>(1.379*[2]!HEX2DEC(D115)+513)/J115</f>
        <v>5981.149107249097</v>
      </c>
      <c r="G115" s="1">
        <v>255</v>
      </c>
      <c r="H115" s="12">
        <v>27</v>
      </c>
      <c r="I115" s="13">
        <f>(1.379*[2]!HEX2DEC(G115)+513)/J115</f>
        <v>5519.75</v>
      </c>
      <c r="J115" s="16">
        <f>(1.379*[2]!HEX2DEC(G115)+513)/((H115*19.25)+5000)</f>
        <v>0.24208759454685447</v>
      </c>
      <c r="K115" s="14">
        <v>27.6</v>
      </c>
      <c r="L115" s="14">
        <f t="shared" si="14"/>
        <v>-0.6000000000000014</v>
      </c>
      <c r="M115" s="12">
        <f t="shared" si="13"/>
        <v>5531.3</v>
      </c>
      <c r="N115" s="12">
        <f t="shared" si="16"/>
        <v>11.550000000000182</v>
      </c>
      <c r="O115" s="12">
        <v>35</v>
      </c>
      <c r="P115" s="1" t="str">
        <f>[2]!DEC2HEX((J115*(5000+19.5*(O115+5))-513)/1.379)</f>
        <v>282</v>
      </c>
      <c r="Q115" s="1" t="str">
        <f>[2]!DEC2HEX((J115*(5000+19.5*(H115+5))-513)/1.379)</f>
        <v>267</v>
      </c>
      <c r="R115" s="1" t="str">
        <f>[2]!DEC2HEX((J115*(5000+19.5*(H115-5))-513)/1.379)</f>
        <v>245</v>
      </c>
      <c r="S115" s="12">
        <f t="shared" si="17"/>
        <v>27</v>
      </c>
      <c r="W115" s="4">
        <v>5.38</v>
      </c>
      <c r="Y115" s="25">
        <f>[2]!HEX2DEC(P115)</f>
        <v>642</v>
      </c>
      <c r="Z115" s="18">
        <f>1.379*[2]!HEX2DEC(P115)+513</f>
        <v>1398.318</v>
      </c>
    </row>
    <row r="116" spans="1:26" ht="12.75">
      <c r="A116" s="137"/>
      <c r="B116" s="138"/>
      <c r="C116" s="2" t="s">
        <v>69</v>
      </c>
      <c r="D116" s="1" t="s">
        <v>87</v>
      </c>
      <c r="E116" s="12">
        <f t="shared" si="15"/>
        <v>18.498632272404222</v>
      </c>
      <c r="F116" s="13">
        <f>(1.379*[2]!HEX2DEC(D116)+513)/J116</f>
        <v>6107.270269992301</v>
      </c>
      <c r="G116" s="1">
        <v>259</v>
      </c>
      <c r="H116" s="12">
        <v>29.3</v>
      </c>
      <c r="I116" s="13">
        <f>(1.379*[2]!HEX2DEC(G116)+513)/J116</f>
        <v>5564.025</v>
      </c>
      <c r="J116" s="16">
        <f>(1.379*[2]!HEX2DEC(G116)+513)/((H116*19.25)+5000)</f>
        <v>0.2411525828873882</v>
      </c>
      <c r="K116" s="14">
        <v>29.5</v>
      </c>
      <c r="L116" s="14">
        <f t="shared" si="14"/>
        <v>-0.1999999999999993</v>
      </c>
      <c r="M116" s="12">
        <f t="shared" si="13"/>
        <v>5567.875</v>
      </c>
      <c r="N116" s="12">
        <f t="shared" si="16"/>
        <v>3.850000000000364</v>
      </c>
      <c r="O116" s="12">
        <v>35</v>
      </c>
      <c r="P116" s="1" t="str">
        <f>[2]!DEC2HEX((J116*(5000+19.5*(O116+5))-513)/1.379)</f>
        <v>27E</v>
      </c>
      <c r="Q116" s="1" t="str">
        <f>[2]!DEC2HEX((J116*(5000+19.5*(H116+5))-513)/1.379)</f>
        <v>26B</v>
      </c>
      <c r="R116" s="1" t="str">
        <f>[2]!DEC2HEX((J116*(5000+19.5*(H116-5))-513)/1.379)</f>
        <v>249</v>
      </c>
      <c r="S116" s="12">
        <f t="shared" si="17"/>
        <v>29.29999999999998</v>
      </c>
      <c r="W116" s="4">
        <v>5.48</v>
      </c>
      <c r="Y116" s="25">
        <f>[2]!HEX2DEC(P116)</f>
        <v>638</v>
      </c>
      <c r="Z116" s="18">
        <f>1.379*[2]!HEX2DEC(P116)+513</f>
        <v>1392.8020000000001</v>
      </c>
    </row>
    <row r="117" spans="1:26" ht="12.75">
      <c r="A117" s="137"/>
      <c r="B117" s="139" t="s">
        <v>61</v>
      </c>
      <c r="C117" s="2" t="s">
        <v>64</v>
      </c>
      <c r="D117" s="1" t="s">
        <v>82</v>
      </c>
      <c r="E117" s="12">
        <f t="shared" si="15"/>
        <v>17.84094125247833</v>
      </c>
      <c r="F117" s="13">
        <f>(1.379*[2]!HEX2DEC(D117)+513)/J117</f>
        <v>6275.365078981594</v>
      </c>
      <c r="G117" s="1">
        <v>263</v>
      </c>
      <c r="H117" s="12">
        <v>24.6</v>
      </c>
      <c r="I117" s="13">
        <f>(1.379*[2]!HEX2DEC(G117)+513)/J117</f>
        <v>5473.55</v>
      </c>
      <c r="J117" s="16">
        <f>(1.379*[2]!HEX2DEC(G117)+513)/((H117*19.25)+5000)</f>
        <v>0.24765810123228982</v>
      </c>
      <c r="K117" s="14">
        <v>27.4</v>
      </c>
      <c r="L117" s="14">
        <f t="shared" si="14"/>
        <v>-2.799999999999997</v>
      </c>
      <c r="M117" s="12">
        <f t="shared" si="13"/>
        <v>5527.45</v>
      </c>
      <c r="N117" s="12">
        <f t="shared" si="16"/>
        <v>53.899999999999636</v>
      </c>
      <c r="O117" s="12">
        <v>35</v>
      </c>
      <c r="P117" s="1" t="str">
        <f>[2]!DEC2HEX((J117*(5000+19.5*(O117+5))-513)/1.379)</f>
        <v>29A</v>
      </c>
      <c r="Q117" s="1" t="str">
        <f>[2]!DEC2HEX((J117*(5000+19.5*(H117+5))-513)/1.379)</f>
        <v>275</v>
      </c>
      <c r="R117" s="1" t="str">
        <f>[2]!DEC2HEX((J117*(5000+19.5*(H117-5))-513)/1.379)</f>
        <v>252</v>
      </c>
      <c r="S117" s="12">
        <f t="shared" si="17"/>
        <v>24.60000000000001</v>
      </c>
      <c r="W117" s="4">
        <v>5.49</v>
      </c>
      <c r="Y117" s="25">
        <f>[2]!HEX2DEC(P117)</f>
        <v>666</v>
      </c>
      <c r="Z117" s="18">
        <f>1.379*[2]!HEX2DEC(P117)+513</f>
        <v>1431.414</v>
      </c>
    </row>
    <row r="118" spans="1:26" ht="12.75">
      <c r="A118" s="137"/>
      <c r="B118" s="139"/>
      <c r="C118" s="2" t="s">
        <v>65</v>
      </c>
      <c r="D118" s="1">
        <v>316</v>
      </c>
      <c r="E118" s="12">
        <f t="shared" si="15"/>
        <v>17.121638848207965</v>
      </c>
      <c r="F118" s="13">
        <f>(1.379*[2]!HEX2DEC(D118)+513)/J118</f>
        <v>6465.419445580678</v>
      </c>
      <c r="G118" s="1" t="s">
        <v>16</v>
      </c>
      <c r="H118" s="12">
        <v>26.7</v>
      </c>
      <c r="I118" s="13">
        <f>(1.379*[2]!HEX2DEC(G118)+513)/J118</f>
        <v>5513.975</v>
      </c>
      <c r="J118" s="16">
        <f>(1.379*[2]!HEX2DEC(G118)+513)/((H118*19.25)+5000)</f>
        <v>0.2478431621470899</v>
      </c>
      <c r="K118" s="14">
        <v>31.3</v>
      </c>
      <c r="L118" s="14">
        <f t="shared" si="14"/>
        <v>-4.600000000000001</v>
      </c>
      <c r="M118" s="12">
        <f t="shared" si="13"/>
        <v>5602.525000000001</v>
      </c>
      <c r="N118" s="12">
        <f t="shared" si="16"/>
        <v>88.55000000000018</v>
      </c>
      <c r="O118" s="12">
        <v>35</v>
      </c>
      <c r="P118" s="1" t="str">
        <f>[2]!DEC2HEX((J118*(5000+19.5*(O118+5))-513)/1.379)</f>
        <v>29A</v>
      </c>
      <c r="Q118" s="1" t="str">
        <f>[2]!DEC2HEX((J118*(5000+19.5*(H118+5))-513)/1.379)</f>
        <v>27D</v>
      </c>
      <c r="R118" s="1" t="str">
        <f>[2]!DEC2HEX((J118*(5000+19.5*(H118-5))-513)/1.379)</f>
        <v>25A</v>
      </c>
      <c r="S118" s="12">
        <f t="shared" si="17"/>
        <v>26.70000000000002</v>
      </c>
      <c r="W118" s="4">
        <v>5.35</v>
      </c>
      <c r="Y118" s="25">
        <f>[2]!HEX2DEC(P118)</f>
        <v>666</v>
      </c>
      <c r="Z118" s="18">
        <f>1.379*[2]!HEX2DEC(P118)+513</f>
        <v>1431.414</v>
      </c>
    </row>
    <row r="119" spans="1:26" ht="12.75">
      <c r="A119" s="137"/>
      <c r="B119" s="139"/>
      <c r="C119" s="2" t="s">
        <v>66</v>
      </c>
      <c r="D119" s="1" t="s">
        <v>83</v>
      </c>
      <c r="E119" s="12">
        <f t="shared" si="15"/>
        <v>17.83231401744382</v>
      </c>
      <c r="F119" s="13">
        <f>(1.379*[2]!HEX2DEC(D119)+513)/J119</f>
        <v>6277.60564626231</v>
      </c>
      <c r="G119" s="1">
        <v>258</v>
      </c>
      <c r="H119" s="12">
        <v>26.6</v>
      </c>
      <c r="I119" s="13">
        <f>(1.379*[2]!HEX2DEC(G119)+513)/J119</f>
        <v>5512.05</v>
      </c>
      <c r="J119" s="16">
        <f>(1.379*[2]!HEX2DEC(G119)+513)/((H119*19.25)+5000)</f>
        <v>0.24317631371268403</v>
      </c>
      <c r="K119" s="14">
        <v>27.9</v>
      </c>
      <c r="L119" s="14">
        <f t="shared" si="14"/>
        <v>-1.2999999999999972</v>
      </c>
      <c r="M119" s="12">
        <f t="shared" si="13"/>
        <v>5537.075</v>
      </c>
      <c r="N119" s="12">
        <f t="shared" si="16"/>
        <v>25.024999999999636</v>
      </c>
      <c r="O119" s="12">
        <v>35</v>
      </c>
      <c r="P119" s="1" t="str">
        <f>[2]!DEC2HEX((J119*(5000+19.5*(O119+5))-513)/1.379)</f>
        <v>287</v>
      </c>
      <c r="Q119" s="1" t="str">
        <f>[2]!DEC2HEX((J119*(5000+19.5*(H119+5))-513)/1.379)</f>
        <v>26A</v>
      </c>
      <c r="R119" s="1" t="str">
        <f>[2]!DEC2HEX((J119*(5000+19.5*(H119-5))-513)/1.379)</f>
        <v>247</v>
      </c>
      <c r="S119" s="12">
        <f t="shared" si="17"/>
        <v>26.60000000000001</v>
      </c>
      <c r="W119" s="4">
        <v>5.48</v>
      </c>
      <c r="Y119" s="25">
        <f>[2]!HEX2DEC(P119)</f>
        <v>647</v>
      </c>
      <c r="Z119" s="18">
        <f>1.379*[2]!HEX2DEC(P119)+513</f>
        <v>1405.213</v>
      </c>
    </row>
    <row r="120" spans="1:26" ht="12.75">
      <c r="A120" s="137"/>
      <c r="B120" s="139"/>
      <c r="C120" s="2" t="s">
        <v>67</v>
      </c>
      <c r="D120" s="1">
        <v>262</v>
      </c>
      <c r="E120" s="12">
        <f t="shared" si="15"/>
        <v>21.034717079911786</v>
      </c>
      <c r="F120" s="13">
        <f>(1.379*[2]!HEX2DEC(D120)+513)/J120</f>
        <v>5506.442674257083</v>
      </c>
      <c r="G120" s="1">
        <v>263</v>
      </c>
      <c r="H120" s="12">
        <v>26.6</v>
      </c>
      <c r="I120" s="13">
        <f>(1.379*[2]!HEX2DEC(G120)+513)/J120</f>
        <v>5512.05</v>
      </c>
      <c r="J120" s="16">
        <f>(1.379*[2]!HEX2DEC(G120)+513)/((H120*19.25)+5000)</f>
        <v>0.245928284395098</v>
      </c>
      <c r="K120" s="14">
        <v>28.2</v>
      </c>
      <c r="L120" s="14">
        <f t="shared" si="14"/>
        <v>-1.5999999999999979</v>
      </c>
      <c r="M120" s="12">
        <f t="shared" si="13"/>
        <v>5542.849999999999</v>
      </c>
      <c r="N120" s="12">
        <f t="shared" si="16"/>
        <v>30.799999999999272</v>
      </c>
      <c r="O120" s="12">
        <v>35</v>
      </c>
      <c r="P120" s="1" t="str">
        <f>[2]!DEC2HEX((J120*(5000+19.5*(O120+5))-513)/1.379)</f>
        <v>292</v>
      </c>
      <c r="Q120" s="1" t="str">
        <f>[2]!DEC2HEX((J120*(5000+19.5*(H120+5))-513)/1.379)</f>
        <v>275</v>
      </c>
      <c r="R120" s="1" t="str">
        <f>[2]!DEC2HEX((J120*(5000+19.5*(H120-5))-513)/1.379)</f>
        <v>252</v>
      </c>
      <c r="S120" s="12">
        <f t="shared" si="17"/>
        <v>26.60000000000001</v>
      </c>
      <c r="W120" s="4">
        <v>5.58</v>
      </c>
      <c r="Y120" s="25">
        <f>[2]!HEX2DEC(P120)</f>
        <v>658</v>
      </c>
      <c r="Z120" s="18">
        <f>1.379*[2]!HEX2DEC(P120)+513</f>
        <v>1420.382</v>
      </c>
    </row>
    <row r="121" spans="1:26" ht="12.75">
      <c r="A121" s="137"/>
      <c r="B121" s="139"/>
      <c r="C121" s="2" t="s">
        <v>68</v>
      </c>
      <c r="D121" s="11" t="s">
        <v>88</v>
      </c>
      <c r="E121" s="12">
        <f t="shared" si="15"/>
        <v>18.099577259287855</v>
      </c>
      <c r="F121" s="13">
        <f>(1.379*[2]!HEX2DEC(D121)+513)/J121</f>
        <v>6208.62614946196</v>
      </c>
      <c r="G121" s="1">
        <v>263</v>
      </c>
      <c r="H121" s="12">
        <v>26.4</v>
      </c>
      <c r="I121" s="13">
        <f>(1.379*[2]!HEX2DEC(G121)+513)/J121</f>
        <v>5508.2</v>
      </c>
      <c r="J121" s="16">
        <f>(1.379*[2]!HEX2DEC(G121)+513)/((H121*19.25)+5000)</f>
        <v>0.24610017791656078</v>
      </c>
      <c r="K121" s="14">
        <v>28.2</v>
      </c>
      <c r="L121" s="14">
        <f t="shared" si="14"/>
        <v>-1.8000000000000007</v>
      </c>
      <c r="M121" s="12">
        <f t="shared" si="13"/>
        <v>5542.849999999999</v>
      </c>
      <c r="N121" s="12">
        <f t="shared" si="16"/>
        <v>34.649999999999636</v>
      </c>
      <c r="O121" s="12">
        <v>35</v>
      </c>
      <c r="P121" s="1" t="str">
        <f>[2]!DEC2HEX((J121*(5000+19.5*(O121+5))-513)/1.379)</f>
        <v>293</v>
      </c>
      <c r="Q121" s="1" t="str">
        <f>[2]!DEC2HEX((J121*(5000+19.5*(H121+5))-513)/1.379)</f>
        <v>275</v>
      </c>
      <c r="R121" s="1" t="str">
        <f>[2]!DEC2HEX((J121*(5000+19.5*(H121-5))-513)/1.379)</f>
        <v>252</v>
      </c>
      <c r="S121" s="12">
        <f t="shared" si="17"/>
        <v>26.39999999999999</v>
      </c>
      <c r="W121" s="4">
        <v>5.64</v>
      </c>
      <c r="Y121" s="25">
        <f>[2]!HEX2DEC(P121)</f>
        <v>659</v>
      </c>
      <c r="Z121" s="18">
        <f>1.379*[2]!HEX2DEC(P121)+513</f>
        <v>1421.761</v>
      </c>
    </row>
    <row r="122" spans="1:26" ht="12.75">
      <c r="A122" s="137"/>
      <c r="B122" s="139"/>
      <c r="C122" s="2" t="s">
        <v>69</v>
      </c>
      <c r="D122" s="1">
        <v>293</v>
      </c>
      <c r="E122" s="12">
        <f t="shared" si="15"/>
        <v>19.849385420052556</v>
      </c>
      <c r="F122" s="13">
        <f>(1.379*[2]!HEX2DEC(D122)+513)/J122</f>
        <v>5778.23690765726</v>
      </c>
      <c r="G122" s="1">
        <v>269</v>
      </c>
      <c r="H122" s="12">
        <v>28.2</v>
      </c>
      <c r="I122" s="13">
        <f>(1.379*[2]!HEX2DEC(G122)+513)/J122</f>
        <v>5542.85</v>
      </c>
      <c r="J122" s="16">
        <f>(1.379*[2]!HEX2DEC(G122)+513)/((H122*19.25)+5000)</f>
        <v>0.24605446656503419</v>
      </c>
      <c r="K122" s="14">
        <v>30.8</v>
      </c>
      <c r="L122" s="14">
        <f t="shared" si="14"/>
        <v>-2.6000000000000014</v>
      </c>
      <c r="M122" s="12">
        <f t="shared" si="13"/>
        <v>5592.9</v>
      </c>
      <c r="N122" s="12">
        <f t="shared" si="16"/>
        <v>50.04999999999927</v>
      </c>
      <c r="O122" s="12">
        <v>35</v>
      </c>
      <c r="P122" s="1" t="str">
        <f>[2]!DEC2HEX((J122*(5000+19.5*(O122+5))-513)/1.379)</f>
        <v>293</v>
      </c>
      <c r="Q122" s="1" t="str">
        <f>[2]!DEC2HEX((J122*(5000+19.5*(H122+5))-513)/1.379)</f>
        <v>27B</v>
      </c>
      <c r="R122" s="1" t="str">
        <f>[2]!DEC2HEX((J122*(5000+19.5*(H122-5))-513)/1.379)</f>
        <v>258</v>
      </c>
      <c r="S122" s="12">
        <f t="shared" si="17"/>
        <v>28.20000000000002</v>
      </c>
      <c r="W122" s="4">
        <v>5.33</v>
      </c>
      <c r="Y122" s="25">
        <f>[2]!HEX2DEC(P122)</f>
        <v>659</v>
      </c>
      <c r="Z122" s="18">
        <f>1.379*[2]!HEX2DEC(P122)+513</f>
        <v>1421.761</v>
      </c>
    </row>
    <row r="123" spans="1:26" ht="12.75">
      <c r="A123" s="137">
        <v>10</v>
      </c>
      <c r="B123" s="138" t="s">
        <v>62</v>
      </c>
      <c r="C123" s="2" t="s">
        <v>64</v>
      </c>
      <c r="D123" s="11" t="s">
        <v>77</v>
      </c>
      <c r="E123" s="12">
        <f t="shared" si="15"/>
        <v>18.202376730241554</v>
      </c>
      <c r="F123" s="13">
        <f>(1.379*[2]!HEX2DEC(D123)+513)/J123</f>
        <v>6182.329731318424</v>
      </c>
      <c r="G123" s="1" t="s">
        <v>26</v>
      </c>
      <c r="H123" s="12">
        <v>26.7</v>
      </c>
      <c r="I123" s="13">
        <f>(1.379*[2]!HEX2DEC(G123)+513)/J123</f>
        <v>5513.975</v>
      </c>
      <c r="J123" s="16">
        <f>(1.379*[2]!HEX2DEC(G123)+513)/((H123*19.25)+5000)</f>
        <v>0.2475930703349217</v>
      </c>
      <c r="K123" s="14">
        <v>30.4</v>
      </c>
      <c r="L123" s="14">
        <f aca="true" t="shared" si="18" ref="L123:L134">H123-K123</f>
        <v>-3.6999999999999993</v>
      </c>
      <c r="M123" s="12">
        <f t="shared" si="13"/>
        <v>5585.2</v>
      </c>
      <c r="N123" s="12">
        <f t="shared" si="16"/>
        <v>71.22499999999945</v>
      </c>
      <c r="O123" s="12">
        <v>35</v>
      </c>
      <c r="P123" s="1" t="str">
        <f>[2]!DEC2HEX((J123*(5000+19.5*(O123+5))-513)/1.379)</f>
        <v>299</v>
      </c>
      <c r="Q123" s="1" t="str">
        <f>[2]!DEC2HEX((J123*(5000+19.5*(H123+5))-513)/1.379)</f>
        <v>27C</v>
      </c>
      <c r="R123" s="1" t="str">
        <f>[2]!DEC2HEX((J123*(5000+19.5*(H123-5))-513)/1.379)</f>
        <v>259</v>
      </c>
      <c r="S123" s="12">
        <f t="shared" si="17"/>
        <v>26.70000000000002</v>
      </c>
      <c r="W123" s="4">
        <v>5.32</v>
      </c>
      <c r="Y123" s="25">
        <f>[2]!HEX2DEC(P123)</f>
        <v>665</v>
      </c>
      <c r="Z123" s="18">
        <f>1.379*[2]!HEX2DEC(P123)+513</f>
        <v>1430.0349999999999</v>
      </c>
    </row>
    <row r="124" spans="1:26" ht="12.75">
      <c r="A124" s="137"/>
      <c r="B124" s="138"/>
      <c r="C124" s="2" t="s">
        <v>65</v>
      </c>
      <c r="D124" s="1" t="s">
        <v>78</v>
      </c>
      <c r="E124" s="12">
        <f t="shared" si="15"/>
        <v>19.0396305803975</v>
      </c>
      <c r="F124" s="13">
        <f>(1.379*[2]!HEX2DEC(D124)+513)/J124</f>
        <v>5972.9282694462345</v>
      </c>
      <c r="G124" s="1" t="s">
        <v>20</v>
      </c>
      <c r="H124" s="12">
        <v>28.4</v>
      </c>
      <c r="I124" s="13">
        <f>(1.379*[2]!HEX2DEC(G124)+513)/J124</f>
        <v>5546.7</v>
      </c>
      <c r="J124" s="16">
        <f>(1.379*[2]!HEX2DEC(G124)+513)/((H124*19.25)+5000)</f>
        <v>0.24265166675681038</v>
      </c>
      <c r="K124" s="14">
        <v>31.9</v>
      </c>
      <c r="L124" s="14">
        <f t="shared" si="18"/>
        <v>-3.5</v>
      </c>
      <c r="M124" s="12">
        <f t="shared" si="13"/>
        <v>5614.075000000001</v>
      </c>
      <c r="N124" s="12">
        <f t="shared" si="16"/>
        <v>67.37500000000091</v>
      </c>
      <c r="O124" s="12">
        <v>35</v>
      </c>
      <c r="P124" s="1" t="str">
        <f>[2]!DEC2HEX((J124*(5000+19.5*(O124+5))-513)/1.379)</f>
        <v>285</v>
      </c>
      <c r="Q124" s="1" t="str">
        <f>[2]!DEC2HEX((J124*(5000+19.5*(H124+5))-513)/1.379)</f>
        <v>26E</v>
      </c>
      <c r="R124" s="1" t="str">
        <f>[2]!DEC2HEX((J124*(5000+19.5*(H124-5))-513)/1.379)</f>
        <v>24C</v>
      </c>
      <c r="S124" s="12">
        <f t="shared" si="17"/>
        <v>28.39999999999999</v>
      </c>
      <c r="W124" s="4">
        <v>5.33</v>
      </c>
      <c r="Y124" s="25">
        <f>[2]!HEX2DEC(P124)</f>
        <v>645</v>
      </c>
      <c r="Z124" s="18">
        <f>1.379*[2]!HEX2DEC(P124)+513</f>
        <v>1402.455</v>
      </c>
    </row>
    <row r="125" spans="1:26" ht="12.75">
      <c r="A125" s="137"/>
      <c r="B125" s="138"/>
      <c r="C125" s="2" t="s">
        <v>66</v>
      </c>
      <c r="D125" s="1" t="s">
        <v>79</v>
      </c>
      <c r="E125" s="12">
        <f t="shared" si="15"/>
        <v>18.667038474825176</v>
      </c>
      <c r="F125" s="13">
        <f>(1.379*[2]!HEX2DEC(D125)+513)/J125</f>
        <v>6065.076838514862</v>
      </c>
      <c r="G125" s="1">
        <v>267</v>
      </c>
      <c r="H125" s="12">
        <v>29</v>
      </c>
      <c r="I125" s="13">
        <f>(1.379*[2]!HEX2DEC(G125)+513)/J125</f>
        <v>5558.25</v>
      </c>
      <c r="J125" s="16">
        <f>(1.379*[2]!HEX2DEC(G125)+513)/((H125*19.25)+5000)</f>
        <v>0.24487653488058292</v>
      </c>
      <c r="K125" s="14">
        <v>30.4</v>
      </c>
      <c r="L125" s="14">
        <f t="shared" si="18"/>
        <v>-1.3999999999999986</v>
      </c>
      <c r="M125" s="12">
        <f t="shared" si="13"/>
        <v>5585.2</v>
      </c>
      <c r="N125" s="12">
        <f t="shared" si="16"/>
        <v>26.949999999999818</v>
      </c>
      <c r="O125" s="12">
        <v>35</v>
      </c>
      <c r="P125" s="1" t="str">
        <f>[2]!DEC2HEX((J125*(5000+19.5*(O125+5))-513)/1.379)</f>
        <v>28E</v>
      </c>
      <c r="Q125" s="1" t="str">
        <f>[2]!DEC2HEX((J125*(5000+19.5*(H125+5))-513)/1.379)</f>
        <v>279</v>
      </c>
      <c r="R125" s="1" t="str">
        <f>[2]!DEC2HEX((J125*(5000+19.5*(H125-5))-513)/1.379)</f>
        <v>256</v>
      </c>
      <c r="S125" s="12">
        <f t="shared" si="17"/>
        <v>29</v>
      </c>
      <c r="W125" s="4">
        <v>5.48</v>
      </c>
      <c r="Y125" s="25">
        <f>[2]!HEX2DEC(P125)</f>
        <v>654</v>
      </c>
      <c r="Z125" s="18">
        <f>1.379*[2]!HEX2DEC(P125)+513</f>
        <v>1414.866</v>
      </c>
    </row>
    <row r="126" spans="1:26" ht="12.75">
      <c r="A126" s="137"/>
      <c r="B126" s="138"/>
      <c r="C126" s="2" t="s">
        <v>67</v>
      </c>
      <c r="D126" s="1" t="s">
        <v>80</v>
      </c>
      <c r="E126" s="12">
        <f t="shared" si="15"/>
        <v>18.44575144973618</v>
      </c>
      <c r="F126" s="13">
        <f>(1.379*[2]!HEX2DEC(D126)+513)/J126</f>
        <v>6120.5899040595605</v>
      </c>
      <c r="G126" s="1" t="s">
        <v>26</v>
      </c>
      <c r="H126" s="12">
        <v>27.2</v>
      </c>
      <c r="I126" s="13">
        <f>(1.379*[2]!HEX2DEC(G126)+513)/J126</f>
        <v>5523.6</v>
      </c>
      <c r="J126" s="16">
        <f>(1.379*[2]!HEX2DEC(G126)+513)/((H126*19.25)+5000)</f>
        <v>0.24716163371714098</v>
      </c>
      <c r="K126" s="14">
        <v>34.5</v>
      </c>
      <c r="L126" s="14">
        <f t="shared" si="18"/>
        <v>-7.300000000000001</v>
      </c>
      <c r="M126" s="12">
        <f t="shared" si="13"/>
        <v>5664.125</v>
      </c>
      <c r="N126" s="12">
        <f t="shared" si="16"/>
        <v>140.52499999999964</v>
      </c>
      <c r="O126" s="12">
        <v>35</v>
      </c>
      <c r="P126" s="1" t="str">
        <f>[2]!DEC2HEX((J126*(5000+19.5*(O126+5))-513)/1.379)</f>
        <v>297</v>
      </c>
      <c r="Q126" s="1" t="str">
        <f>[2]!DEC2HEX((J126*(5000+19.5*(H126+5))-513)/1.379)</f>
        <v>27C</v>
      </c>
      <c r="R126" s="1" t="str">
        <f>[2]!DEC2HEX((J126*(5000+19.5*(H126-5))-513)/1.379)</f>
        <v>259</v>
      </c>
      <c r="S126" s="12">
        <f t="shared" si="17"/>
        <v>27.20000000000002</v>
      </c>
      <c r="W126" s="4">
        <v>5.5</v>
      </c>
      <c r="Y126" s="25">
        <f>[2]!HEX2DEC(P126)</f>
        <v>663</v>
      </c>
      <c r="Z126" s="18">
        <f>1.379*[2]!HEX2DEC(P126)+513</f>
        <v>1427.277</v>
      </c>
    </row>
    <row r="127" spans="1:26" ht="12.75">
      <c r="A127" s="137"/>
      <c r="B127" s="138"/>
      <c r="C127" s="2" t="s">
        <v>68</v>
      </c>
      <c r="D127" s="1" t="s">
        <v>81</v>
      </c>
      <c r="E127" s="12">
        <f t="shared" si="15"/>
        <v>18.106961486650846</v>
      </c>
      <c r="F127" s="13">
        <f>(1.379*[2]!HEX2DEC(D127)+513)/J127</f>
        <v>6206.732898337752</v>
      </c>
      <c r="G127" s="1">
        <v>262</v>
      </c>
      <c r="H127" s="12">
        <v>28.1</v>
      </c>
      <c r="I127" s="13">
        <f>(1.379*[2]!HEX2DEC(G127)+513)/J127</f>
        <v>5540.925</v>
      </c>
      <c r="J127" s="16">
        <f>(1.379*[2]!HEX2DEC(G127)+513)/((H127*19.25)+5000)</f>
        <v>0.24439782166335045</v>
      </c>
      <c r="K127" s="14">
        <v>31.1</v>
      </c>
      <c r="L127" s="14">
        <f t="shared" si="18"/>
        <v>-3</v>
      </c>
      <c r="M127" s="12">
        <f t="shared" si="13"/>
        <v>5598.675000000001</v>
      </c>
      <c r="N127" s="12">
        <f t="shared" si="16"/>
        <v>57.75000000000091</v>
      </c>
      <c r="O127" s="12">
        <v>35</v>
      </c>
      <c r="P127" s="1" t="str">
        <f>[2]!DEC2HEX((J127*(5000+19.5*(O127+5))-513)/1.379)</f>
        <v>28C</v>
      </c>
      <c r="Q127" s="1" t="str">
        <f>[2]!DEC2HEX((J127*(5000+19.5*(H127+5))-513)/1.379)</f>
        <v>274</v>
      </c>
      <c r="R127" s="1" t="str">
        <f>[2]!DEC2HEX((J127*(5000+19.5*(H127-5))-513)/1.379)</f>
        <v>251</v>
      </c>
      <c r="S127" s="12">
        <f t="shared" si="17"/>
        <v>28.10000000000001</v>
      </c>
      <c r="W127" s="4">
        <v>5.34</v>
      </c>
      <c r="Y127" s="25">
        <f>[2]!HEX2DEC(P127)</f>
        <v>652</v>
      </c>
      <c r="Z127" s="18">
        <f>1.379*[2]!HEX2DEC(P127)+513</f>
        <v>1412.108</v>
      </c>
    </row>
    <row r="128" spans="1:26" ht="12.75">
      <c r="A128" s="137"/>
      <c r="B128" s="138"/>
      <c r="C128" s="2" t="s">
        <v>69</v>
      </c>
      <c r="D128" s="1" t="s">
        <v>33</v>
      </c>
      <c r="E128" s="12">
        <f t="shared" si="15"/>
        <v>20.694778056493533</v>
      </c>
      <c r="F128" s="13">
        <f>(1.379*[2]!HEX2DEC(D128)+513)/J128</f>
        <v>5582.833386706663</v>
      </c>
      <c r="G128" s="1">
        <v>252</v>
      </c>
      <c r="H128" s="12">
        <v>27.6</v>
      </c>
      <c r="I128" s="13">
        <f>(1.379*[2]!HEX2DEC(G128)+513)/J128</f>
        <v>5531.3</v>
      </c>
      <c r="J128" s="16">
        <f>(1.379*[2]!HEX2DEC(G128)+513)/((H128*19.25)+5000)</f>
        <v>0.2408341619510784</v>
      </c>
      <c r="K128" s="14">
        <v>32.4</v>
      </c>
      <c r="L128" s="14">
        <f t="shared" si="18"/>
        <v>-4.799999999999997</v>
      </c>
      <c r="M128" s="12">
        <f t="shared" si="13"/>
        <v>5623.7</v>
      </c>
      <c r="N128" s="12">
        <f t="shared" si="16"/>
        <v>92.39999999999964</v>
      </c>
      <c r="O128" s="12">
        <v>35</v>
      </c>
      <c r="P128" s="1" t="str">
        <f>[2]!DEC2HEX((J128*(5000+19.5*(O128+5))-513)/1.379)</f>
        <v>27D</v>
      </c>
      <c r="Q128" s="1" t="str">
        <f>[2]!DEC2HEX((J128*(5000+19.5*(H128+5))-513)/1.379)</f>
        <v>264</v>
      </c>
      <c r="R128" s="1" t="str">
        <f>[2]!DEC2HEX((J128*(5000+19.5*(H128-5))-513)/1.379)</f>
        <v>242</v>
      </c>
      <c r="S128" s="12">
        <f t="shared" si="17"/>
        <v>27.60000000000001</v>
      </c>
      <c r="W128" s="4">
        <v>5.28</v>
      </c>
      <c r="Y128" s="25">
        <f>[2]!HEX2DEC(P128)</f>
        <v>637</v>
      </c>
      <c r="Z128" s="18">
        <f>1.379*[2]!HEX2DEC(P128)+513</f>
        <v>1391.423</v>
      </c>
    </row>
    <row r="129" spans="1:26" ht="12.75">
      <c r="A129" s="137"/>
      <c r="B129" s="139" t="s">
        <v>61</v>
      </c>
      <c r="C129" s="2" t="s">
        <v>64</v>
      </c>
      <c r="D129" s="1">
        <v>301</v>
      </c>
      <c r="E129" s="12">
        <f t="shared" si="15"/>
        <v>17.257689909556177</v>
      </c>
      <c r="F129" s="13">
        <f>(1.379*[2]!HEX2DEC(D129)+513)/J129</f>
        <v>6428.962900176003</v>
      </c>
      <c r="G129" s="1">
        <v>261</v>
      </c>
      <c r="H129" s="12">
        <v>27.4</v>
      </c>
      <c r="I129" s="13">
        <f>(1.379*[2]!HEX2DEC(G129)+513)/J129</f>
        <v>5527.45</v>
      </c>
      <c r="J129" s="16">
        <f>(1.379*[2]!HEX2DEC(G129)+513)/((H129*19.25)+5000)</f>
        <v>0.24474414060733252</v>
      </c>
      <c r="K129" s="14">
        <v>29.5</v>
      </c>
      <c r="L129" s="14">
        <f t="shared" si="18"/>
        <v>-2.1000000000000014</v>
      </c>
      <c r="M129" s="12">
        <f t="shared" si="13"/>
        <v>5567.875</v>
      </c>
      <c r="N129" s="12">
        <f t="shared" si="16"/>
        <v>40.42500000000018</v>
      </c>
      <c r="O129" s="12">
        <v>35</v>
      </c>
      <c r="P129" s="1" t="str">
        <f>[2]!DEC2HEX((J129*(5000+19.5*(O129+5))-513)/1.379)</f>
        <v>28D</v>
      </c>
      <c r="Q129" s="1" t="str">
        <f>[2]!DEC2HEX((J129*(5000+19.5*(H129+5))-513)/1.379)</f>
        <v>273</v>
      </c>
      <c r="R129" s="1" t="str">
        <f>[2]!DEC2HEX((J129*(5000+19.5*(H129-5))-513)/1.379)</f>
        <v>250</v>
      </c>
      <c r="S129" s="12">
        <f t="shared" si="17"/>
        <v>27.39999999999999</v>
      </c>
      <c r="W129" s="4">
        <v>5.3</v>
      </c>
      <c r="Y129" s="25">
        <f>[2]!HEX2DEC(P129)</f>
        <v>653</v>
      </c>
      <c r="Z129" s="18">
        <f>1.379*[2]!HEX2DEC(P129)+513</f>
        <v>1413.487</v>
      </c>
    </row>
    <row r="130" spans="1:26" ht="12.75">
      <c r="A130" s="137"/>
      <c r="B130" s="139"/>
      <c r="C130" s="2" t="s">
        <v>65</v>
      </c>
      <c r="D130" s="1" t="s">
        <v>73</v>
      </c>
      <c r="E130" s="12">
        <f t="shared" si="15"/>
        <v>21.612006821947773</v>
      </c>
      <c r="F130" s="13">
        <f>(1.379*[2]!HEX2DEC(D130)+513)/J130</f>
        <v>5379.493774401163</v>
      </c>
      <c r="G130" s="1" t="s">
        <v>1</v>
      </c>
      <c r="H130" s="12">
        <v>29</v>
      </c>
      <c r="I130" s="13">
        <f>(1.379*[2]!HEX2DEC(G130)+513)/J130</f>
        <v>5558.25</v>
      </c>
      <c r="J130" s="16">
        <f>(1.379*[2]!HEX2DEC(G130)+513)/((H130*19.25)+5000)</f>
        <v>0.24686133225385687</v>
      </c>
      <c r="K130" s="14"/>
      <c r="L130" s="14">
        <f t="shared" si="18"/>
        <v>29</v>
      </c>
      <c r="M130" s="12">
        <f t="shared" si="13"/>
        <v>5000</v>
      </c>
      <c r="N130" s="12">
        <f t="shared" si="16"/>
        <v>-558.25</v>
      </c>
      <c r="O130" s="12">
        <v>35</v>
      </c>
      <c r="P130" s="1" t="str">
        <f>[2]!DEC2HEX((J130*(5000+19.5*(O130+5))-513)/1.379)</f>
        <v>296</v>
      </c>
      <c r="Q130" s="1" t="str">
        <f>[2]!DEC2HEX((J130*(5000+19.5*(H130+5))-513)/1.379)</f>
        <v>281</v>
      </c>
      <c r="R130" s="1" t="str">
        <f>[2]!DEC2HEX((J130*(5000+19.5*(H130-5))-513)/1.379)</f>
        <v>25E</v>
      </c>
      <c r="S130" s="12">
        <f t="shared" si="17"/>
        <v>29</v>
      </c>
      <c r="W130" s="4">
        <v>5.35</v>
      </c>
      <c r="Y130" s="25">
        <f>[2]!HEX2DEC(P130)</f>
        <v>662</v>
      </c>
      <c r="Z130" s="18">
        <f>1.379*[2]!HEX2DEC(P130)+513</f>
        <v>1425.8980000000001</v>
      </c>
    </row>
    <row r="131" spans="1:26" ht="12.75">
      <c r="A131" s="137"/>
      <c r="B131" s="139"/>
      <c r="C131" s="2" t="s">
        <v>66</v>
      </c>
      <c r="D131" s="1" t="s">
        <v>14</v>
      </c>
      <c r="E131" s="12">
        <f>(3500/(LN(F131/4700)+11.745))-273</f>
        <v>18.739826618065877</v>
      </c>
      <c r="F131" s="13">
        <f>(1.379*[2]!HEX2DEC(D131)+513)/J131</f>
        <v>6046.945412886936</v>
      </c>
      <c r="G131" s="1" t="s">
        <v>74</v>
      </c>
      <c r="H131" s="12">
        <v>24.9</v>
      </c>
      <c r="I131" s="13">
        <f>(1.379*[2]!HEX2DEC(G131)+513)/J131</f>
        <v>5479.325</v>
      </c>
      <c r="J131" s="16">
        <f>(1.379*[2]!HEX2DEC(G131)+513)/((H131*19.25)+5000)</f>
        <v>0.23808516559977735</v>
      </c>
      <c r="K131" s="14">
        <v>28.5</v>
      </c>
      <c r="L131" s="14">
        <f t="shared" si="18"/>
        <v>-3.6000000000000014</v>
      </c>
      <c r="M131" s="12">
        <f t="shared" si="13"/>
        <v>5548.625</v>
      </c>
      <c r="N131" s="12">
        <f>M131-I131</f>
        <v>69.30000000000018</v>
      </c>
      <c r="O131" s="12">
        <v>35</v>
      </c>
      <c r="P131" s="1" t="str">
        <f>[2]!DEC2HEX((J131*(5000+19.5*(O131+5))-513)/1.379)</f>
        <v>271</v>
      </c>
      <c r="Q131" s="1" t="str">
        <f>[2]!DEC2HEX((J131*(5000+19.5*(H131+5))-513)/1.379)</f>
        <v>24F</v>
      </c>
      <c r="R131" s="1" t="str">
        <f>[2]!DEC2HEX((J131*(5000+19.5*(H131-5))-513)/1.379)</f>
        <v>22E</v>
      </c>
      <c r="S131" s="12">
        <f t="shared" si="17"/>
        <v>24.89999999999999</v>
      </c>
      <c r="W131" s="4">
        <v>5.57</v>
      </c>
      <c r="Y131" s="25">
        <f>[2]!HEX2DEC(P131)</f>
        <v>625</v>
      </c>
      <c r="Z131" s="18">
        <f>1.379*[2]!HEX2DEC(P131)+513</f>
        <v>1374.875</v>
      </c>
    </row>
    <row r="132" spans="1:26" ht="12.75">
      <c r="A132" s="137"/>
      <c r="B132" s="139"/>
      <c r="C132" s="2" t="s">
        <v>67</v>
      </c>
      <c r="D132" s="1" t="s">
        <v>75</v>
      </c>
      <c r="E132" s="12">
        <f>(3500/(LN(F132/4700)+11.745))-273</f>
        <v>19.14604497738543</v>
      </c>
      <c r="F132" s="13">
        <f>(1.379*[2]!HEX2DEC(D132)+513)/J132</f>
        <v>5946.9107232174965</v>
      </c>
      <c r="G132" s="1" t="s">
        <v>20</v>
      </c>
      <c r="H132" s="12">
        <v>26.6</v>
      </c>
      <c r="I132" s="13">
        <f>(1.379*[2]!HEX2DEC(G132)+513)/J132</f>
        <v>5512.05</v>
      </c>
      <c r="J132" s="16">
        <f>(1.379*[2]!HEX2DEC(G132)+513)/((H132*19.25)+5000)</f>
        <v>0.24417703032447097</v>
      </c>
      <c r="K132" s="14">
        <v>30.3</v>
      </c>
      <c r="L132" s="14">
        <f t="shared" si="18"/>
        <v>-3.6999999999999993</v>
      </c>
      <c r="M132" s="12">
        <f>(K132*3.85+1000)*5</f>
        <v>5583.275</v>
      </c>
      <c r="N132" s="12">
        <f>M132-I132</f>
        <v>71.22499999999945</v>
      </c>
      <c r="O132" s="12">
        <v>35</v>
      </c>
      <c r="P132" s="1" t="str">
        <f>[2]!DEC2HEX((J132*(5000+19.5*(O132+5))-513)/1.379)</f>
        <v>28B</v>
      </c>
      <c r="Q132" s="1" t="str">
        <f>[2]!DEC2HEX((J132*(5000+19.5*(H132+5))-513)/1.379)</f>
        <v>26E</v>
      </c>
      <c r="R132" s="1" t="str">
        <f>[2]!DEC2HEX((J132*(5000+19.5*(H132-5))-513)/1.379)</f>
        <v>24B</v>
      </c>
      <c r="S132" s="12">
        <f t="shared" si="17"/>
        <v>26.60000000000001</v>
      </c>
      <c r="W132" s="4">
        <v>5.44</v>
      </c>
      <c r="Y132" s="25">
        <f>[2]!HEX2DEC(P132)</f>
        <v>651</v>
      </c>
      <c r="Z132" s="18">
        <f>1.379*[2]!HEX2DEC(P132)+513</f>
        <v>1410.729</v>
      </c>
    </row>
    <row r="133" spans="1:26" ht="12.75">
      <c r="A133" s="137"/>
      <c r="B133" s="139"/>
      <c r="C133" s="2" t="s">
        <v>68</v>
      </c>
      <c r="D133" s="1" t="s">
        <v>33</v>
      </c>
      <c r="E133" s="12">
        <f>(3500/(LN(F133/4700)+11.745))-273</f>
        <v>21.090333981451977</v>
      </c>
      <c r="F133" s="13">
        <f>(1.379*[2]!HEX2DEC(D133)+513)/J133</f>
        <v>5494.0610429987</v>
      </c>
      <c r="G133" s="1">
        <v>264</v>
      </c>
      <c r="H133" s="12">
        <v>28.3</v>
      </c>
      <c r="I133" s="13">
        <f>(1.379*[2]!HEX2DEC(G133)+513)/J133</f>
        <v>5544.775</v>
      </c>
      <c r="J133" s="16">
        <f>(1.379*[2]!HEX2DEC(G133)+513)/((H133*19.25)+5000)</f>
        <v>0.244725529890753</v>
      </c>
      <c r="K133" s="14">
        <v>31.8</v>
      </c>
      <c r="L133" s="14">
        <f t="shared" si="18"/>
        <v>-3.5</v>
      </c>
      <c r="M133" s="12">
        <f>(K133*3.85+1000)*5</f>
        <v>5612.150000000001</v>
      </c>
      <c r="N133" s="12">
        <f>M133-I133</f>
        <v>67.37500000000091</v>
      </c>
      <c r="O133" s="12">
        <v>35</v>
      </c>
      <c r="P133" s="1" t="str">
        <f>[2]!DEC2HEX((J133*(5000+19.5*(O133+5))-513)/1.379)</f>
        <v>28D</v>
      </c>
      <c r="Q133" s="1" t="str">
        <f>[2]!DEC2HEX((J133*(5000+19.5*(H133+5))-513)/1.379)</f>
        <v>276</v>
      </c>
      <c r="R133" s="1" t="str">
        <f>[2]!DEC2HEX((J133*(5000+19.5*(H133-5))-513)/1.379)</f>
        <v>253</v>
      </c>
      <c r="S133" s="12">
        <f t="shared" si="17"/>
        <v>28.29999999999998</v>
      </c>
      <c r="W133" s="4">
        <v>5.34</v>
      </c>
      <c r="Y133" s="25">
        <f>[2]!HEX2DEC(P133)</f>
        <v>653</v>
      </c>
      <c r="Z133" s="18">
        <f>1.379*[2]!HEX2DEC(P133)+513</f>
        <v>1413.487</v>
      </c>
    </row>
    <row r="134" spans="1:26" s="18" customFormat="1" ht="12.75">
      <c r="A134" s="137"/>
      <c r="B134" s="139"/>
      <c r="C134" s="18" t="s">
        <v>69</v>
      </c>
      <c r="D134" s="20">
        <v>288</v>
      </c>
      <c r="E134" s="21">
        <f>(3500/(LN(F134/4700)+11.745))-273</f>
        <v>23.332958631833492</v>
      </c>
      <c r="F134" s="13">
        <f>(1.379*[2]!HEX2DEC(D134)+513)/J134</f>
        <v>5020.859154342846</v>
      </c>
      <c r="G134" s="20" t="s">
        <v>76</v>
      </c>
      <c r="H134" s="21">
        <v>28.7</v>
      </c>
      <c r="I134" s="13">
        <f>(1.379*[2]!HEX2DEC(G134)+513)/J134</f>
        <v>5552.475</v>
      </c>
      <c r="J134" s="16">
        <f>(1.379*[2]!HEX2DEC(G134)+513)/((H134*19.25)+5000)</f>
        <v>0.28014966298812694</v>
      </c>
      <c r="K134" s="22">
        <v>31.8</v>
      </c>
      <c r="L134" s="22">
        <f t="shared" si="18"/>
        <v>-3.1000000000000014</v>
      </c>
      <c r="M134" s="12">
        <f>(K134*3.85+1000)*5</f>
        <v>5612.150000000001</v>
      </c>
      <c r="N134" s="12">
        <f>M134-I134</f>
        <v>59.67500000000018</v>
      </c>
      <c r="O134" s="12">
        <v>35</v>
      </c>
      <c r="P134" s="1" t="str">
        <f>[2]!DEC2HEX((J134*(5000+19.5*(O134+5))-513)/1.379)</f>
        <v>322</v>
      </c>
      <c r="Q134" s="1" t="str">
        <f>[2]!DEC2HEX((J134*(5000+19.5*(H134+5))-513)/1.379)</f>
        <v>309</v>
      </c>
      <c r="R134" s="1" t="str">
        <f>[2]!DEC2HEX((J134*(5000+19.5*(H134-5))-513)/1.379)</f>
        <v>2E1</v>
      </c>
      <c r="S134" s="21">
        <f t="shared" si="17"/>
        <v>28.70000000000002</v>
      </c>
      <c r="W134" s="24">
        <v>5.31</v>
      </c>
      <c r="Y134" s="25">
        <f>[2]!HEX2DEC(P134)</f>
        <v>802</v>
      </c>
      <c r="Z134" s="18">
        <f>1.379*[2]!HEX2DEC(P134)+513</f>
        <v>1618.958</v>
      </c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</sheetData>
  <mergeCells count="52">
    <mergeCell ref="B3:B8"/>
    <mergeCell ref="A39:A50"/>
    <mergeCell ref="D1:D2"/>
    <mergeCell ref="G1:G2"/>
    <mergeCell ref="Q1:Q2"/>
    <mergeCell ref="A111:A122"/>
    <mergeCell ref="B111:B116"/>
    <mergeCell ref="B117:B122"/>
    <mergeCell ref="A3:A14"/>
    <mergeCell ref="A27:A38"/>
    <mergeCell ref="B27:B32"/>
    <mergeCell ref="B33:B38"/>
    <mergeCell ref="B39:B44"/>
    <mergeCell ref="B45:B50"/>
    <mergeCell ref="R1:R2"/>
    <mergeCell ref="T1:T2"/>
    <mergeCell ref="B9:B14"/>
    <mergeCell ref="W1:W2"/>
    <mergeCell ref="M1:M2"/>
    <mergeCell ref="K1:K2"/>
    <mergeCell ref="L1:L2"/>
    <mergeCell ref="H1:H2"/>
    <mergeCell ref="F1:F2"/>
    <mergeCell ref="A1:C1"/>
    <mergeCell ref="A51:A62"/>
    <mergeCell ref="B51:B56"/>
    <mergeCell ref="B57:B62"/>
    <mergeCell ref="B99:B104"/>
    <mergeCell ref="A63:A74"/>
    <mergeCell ref="B63:B68"/>
    <mergeCell ref="B69:B74"/>
    <mergeCell ref="A75:A86"/>
    <mergeCell ref="B75:B80"/>
    <mergeCell ref="B81:B86"/>
    <mergeCell ref="B87:B92"/>
    <mergeCell ref="B93:B98"/>
    <mergeCell ref="A99:A110"/>
    <mergeCell ref="B105:B110"/>
    <mergeCell ref="S1:S2"/>
    <mergeCell ref="O1:O2"/>
    <mergeCell ref="P1:P2"/>
    <mergeCell ref="A123:A134"/>
    <mergeCell ref="B123:B128"/>
    <mergeCell ref="B129:B134"/>
    <mergeCell ref="A15:A26"/>
    <mergeCell ref="B15:B20"/>
    <mergeCell ref="B21:B26"/>
    <mergeCell ref="A87:A98"/>
    <mergeCell ref="I1:I2"/>
    <mergeCell ref="J1:J2"/>
    <mergeCell ref="E1:E2"/>
    <mergeCell ref="N1:N2"/>
  </mergeCells>
  <hyperlinks>
    <hyperlink ref="D1:D2" location="Comments!A1" display="Comments!A1"/>
    <hyperlink ref="G1:G2" location="Comments!A2" display="Router Tbus (HEX)"/>
    <hyperlink ref="H1:H2" location="Comments!A3" display="Thermal-Camera"/>
    <hyperlink ref="F1:F2" location="Comments!A4" display="RMCM Router [Ω] "/>
    <hyperlink ref="I1:I2" location="Comments!A5" display="RBUS Router [Ω]"/>
    <hyperlink ref="J1:J2" location="Comments!A6" display="IAPILOT [mA] "/>
    <hyperlink ref="S1:S2" location="Comments!A1" display="TBUS Router [°C]"/>
    <hyperlink ref="E1:E2" location="Comments!A8" display="TMCM Router [°C]"/>
    <hyperlink ref="K1:K2" location="Comments!A9" display="TPt1000 [°C]"/>
    <hyperlink ref="L1:L2" location="Comments!A10" display="TOffset [°C]"/>
    <hyperlink ref="M1:M2" location="Comments!A11" display="RBus Pt1000 [Ω]"/>
    <hyperlink ref="N1:N2" location="Comments!A12" display="ΔRBUS [Ω]"/>
    <hyperlink ref="Q1:Q2" location="Comments!A13" display="THR +5°C"/>
    <hyperlink ref="R1:R2" location="Comments!A14" display="THR -5°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4">
      <selection activeCell="B14" sqref="B14"/>
    </sheetView>
  </sheetViews>
  <sheetFormatPr defaultColWidth="9.140625" defaultRowHeight="12.75"/>
  <cols>
    <col min="1" max="1" width="10.140625" style="36" customWidth="1"/>
    <col min="2" max="2" width="61.28125" style="34" customWidth="1"/>
    <col min="3" max="16384" width="8.8515625" style="0" customWidth="1"/>
  </cols>
  <sheetData>
    <row r="1" spans="1:2" ht="39" customHeight="1">
      <c r="A1" s="35" t="s">
        <v>94</v>
      </c>
      <c r="B1" s="34" t="s">
        <v>92</v>
      </c>
    </row>
    <row r="2" spans="1:2" ht="45" customHeight="1">
      <c r="A2" s="35" t="s">
        <v>95</v>
      </c>
      <c r="B2" s="34" t="s">
        <v>92</v>
      </c>
    </row>
    <row r="3" spans="1:2" ht="43.5" customHeight="1">
      <c r="A3" s="35" t="s">
        <v>98</v>
      </c>
      <c r="B3" s="34" t="s">
        <v>93</v>
      </c>
    </row>
    <row r="4" spans="1:2" ht="30" customHeight="1">
      <c r="A4" s="35" t="s">
        <v>96</v>
      </c>
      <c r="B4" s="34" t="s">
        <v>507</v>
      </c>
    </row>
    <row r="5" spans="1:2" ht="30.75" customHeight="1">
      <c r="A5" s="35" t="s">
        <v>97</v>
      </c>
      <c r="B5" s="34" t="s">
        <v>508</v>
      </c>
    </row>
    <row r="6" spans="1:2" ht="28.5" customHeight="1">
      <c r="A6" s="37" t="s">
        <v>53</v>
      </c>
      <c r="B6" s="34" t="s">
        <v>509</v>
      </c>
    </row>
    <row r="7" spans="1:2" ht="30.75" customHeight="1">
      <c r="A7" s="33" t="s">
        <v>90</v>
      </c>
      <c r="B7" s="34" t="s">
        <v>99</v>
      </c>
    </row>
    <row r="8" spans="1:2" ht="35.25" customHeight="1">
      <c r="A8" s="33" t="s">
        <v>91</v>
      </c>
      <c r="B8" s="34" t="s">
        <v>100</v>
      </c>
    </row>
    <row r="9" spans="1:2" ht="25.5">
      <c r="A9" s="38" t="s">
        <v>56</v>
      </c>
      <c r="B9" s="34" t="s">
        <v>104</v>
      </c>
    </row>
    <row r="10" spans="1:2" ht="33.75" customHeight="1">
      <c r="A10" s="38" t="s">
        <v>55</v>
      </c>
      <c r="B10" s="34" t="s">
        <v>101</v>
      </c>
    </row>
    <row r="11" spans="1:2" ht="28.5" customHeight="1">
      <c r="A11" s="39" t="s">
        <v>89</v>
      </c>
      <c r="B11" s="34" t="s">
        <v>103</v>
      </c>
    </row>
    <row r="12" spans="1:2" ht="28.5" customHeight="1">
      <c r="A12" s="40" t="s">
        <v>105</v>
      </c>
      <c r="B12" s="34" t="s">
        <v>102</v>
      </c>
    </row>
    <row r="13" spans="1:2" ht="41.25">
      <c r="A13" s="6" t="s">
        <v>57</v>
      </c>
      <c r="B13" s="34" t="s">
        <v>510</v>
      </c>
    </row>
    <row r="14" spans="1:2" ht="41.25">
      <c r="A14" s="6" t="s">
        <v>58</v>
      </c>
      <c r="B14" s="34" t="s">
        <v>511</v>
      </c>
    </row>
    <row r="15" spans="1:2" ht="12.75" customHeight="1">
      <c r="A15" s="146" t="s">
        <v>106</v>
      </c>
      <c r="B15" s="147" t="s">
        <v>107</v>
      </c>
    </row>
    <row r="16" spans="1:2" ht="12.75">
      <c r="A16" s="146"/>
      <c r="B16" s="147"/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0"/>
  <sheetViews>
    <sheetView tabSelected="1" workbookViewId="0" topLeftCell="F76">
      <selection activeCell="A168" sqref="A168"/>
    </sheetView>
  </sheetViews>
  <sheetFormatPr defaultColWidth="9.140625" defaultRowHeight="12.75"/>
  <cols>
    <col min="1" max="1" width="9.140625" style="75" customWidth="1"/>
    <col min="2" max="3" width="13.140625" style="75" customWidth="1"/>
    <col min="4" max="4" width="11.421875" style="75" customWidth="1"/>
    <col min="5" max="5" width="10.28125" style="75" customWidth="1"/>
    <col min="6" max="7" width="12.57421875" style="75" bestFit="1" customWidth="1"/>
    <col min="8" max="8" width="10.28125" style="75" bestFit="1" customWidth="1"/>
    <col min="9" max="22" width="9.140625" style="75" customWidth="1"/>
    <col min="23" max="24" width="15.8515625" style="75" bestFit="1" customWidth="1"/>
    <col min="25" max="16384" width="9.140625" style="75" customWidth="1"/>
  </cols>
  <sheetData>
    <row r="1" spans="1:7" s="82" customFormat="1" ht="19.5" thickTop="1">
      <c r="A1" s="148" t="s">
        <v>490</v>
      </c>
      <c r="B1" s="149"/>
      <c r="C1" s="149"/>
      <c r="D1" s="149"/>
      <c r="E1" s="149"/>
      <c r="F1" s="71"/>
      <c r="G1" s="72"/>
    </row>
    <row r="2" spans="1:8" s="131" customFormat="1" ht="15.75">
      <c r="A2" s="129" t="s">
        <v>466</v>
      </c>
      <c r="B2" s="130" t="s">
        <v>465</v>
      </c>
      <c r="C2" s="130" t="s">
        <v>54</v>
      </c>
      <c r="D2" s="131" t="s">
        <v>463</v>
      </c>
      <c r="E2" s="131" t="s">
        <v>464</v>
      </c>
      <c r="F2" s="132" t="s">
        <v>491</v>
      </c>
      <c r="G2" s="133" t="s">
        <v>492</v>
      </c>
      <c r="H2" s="132" t="s">
        <v>513</v>
      </c>
    </row>
    <row r="3" spans="1:24" ht="15">
      <c r="A3" s="80">
        <v>0.189</v>
      </c>
      <c r="B3" s="42">
        <v>0</v>
      </c>
      <c r="C3" s="76"/>
      <c r="D3" s="76">
        <f>AVERAGE(Measurements!J3:J134)</f>
        <v>0.2450423219765982</v>
      </c>
      <c r="E3" s="76">
        <f>STDEV(Measurements!J3:J134)</f>
        <v>0.006352709649279582</v>
      </c>
      <c r="F3" s="76">
        <f>MINA(Measurements!J3:J134)</f>
        <v>0.18911566450320944</v>
      </c>
      <c r="G3" s="77">
        <f>MAXA(Measurements!J3:J134)</f>
        <v>0.28014966298812694</v>
      </c>
      <c r="H3" s="128">
        <f>(E3/D3)*100</f>
        <v>2.5924948792667224</v>
      </c>
      <c r="W3" s="75">
        <v>0</v>
      </c>
      <c r="X3" s="75">
        <f>W3/7</f>
        <v>0</v>
      </c>
    </row>
    <row r="4" spans="1:24" ht="15">
      <c r="A4" s="80">
        <v>0.19</v>
      </c>
      <c r="B4" s="42">
        <v>1</v>
      </c>
      <c r="C4" s="91" t="s">
        <v>497</v>
      </c>
      <c r="D4" s="76"/>
      <c r="E4" s="76"/>
      <c r="F4" s="76"/>
      <c r="G4" s="77"/>
      <c r="W4" s="75">
        <v>0</v>
      </c>
      <c r="X4" s="75">
        <f aca="true" t="shared" si="0" ref="X4:X67">W4/7</f>
        <v>0</v>
      </c>
    </row>
    <row r="5" spans="1:24" ht="15">
      <c r="A5" s="80">
        <v>0.191</v>
      </c>
      <c r="B5" s="42">
        <v>0</v>
      </c>
      <c r="C5" s="74"/>
      <c r="D5" s="76"/>
      <c r="E5" s="76"/>
      <c r="F5" s="76"/>
      <c r="G5" s="77"/>
      <c r="W5" s="75">
        <v>0</v>
      </c>
      <c r="X5" s="75">
        <f t="shared" si="0"/>
        <v>0</v>
      </c>
    </row>
    <row r="6" spans="1:24" ht="15">
      <c r="A6" s="80">
        <v>0.192</v>
      </c>
      <c r="B6" s="42">
        <v>0</v>
      </c>
      <c r="C6" s="74"/>
      <c r="D6" s="76"/>
      <c r="E6" s="76"/>
      <c r="F6" s="76"/>
      <c r="G6" s="77"/>
      <c r="W6" s="75">
        <v>0</v>
      </c>
      <c r="X6" s="75">
        <f t="shared" si="0"/>
        <v>0</v>
      </c>
    </row>
    <row r="7" spans="1:24" ht="15">
      <c r="A7" s="80">
        <v>0.193</v>
      </c>
      <c r="B7" s="42">
        <v>0</v>
      </c>
      <c r="C7" s="74"/>
      <c r="D7" s="76"/>
      <c r="E7" s="76"/>
      <c r="F7" s="76"/>
      <c r="G7" s="77"/>
      <c r="W7" s="75">
        <v>0</v>
      </c>
      <c r="X7" s="75">
        <f t="shared" si="0"/>
        <v>0</v>
      </c>
    </row>
    <row r="8" spans="1:24" ht="15">
      <c r="A8" s="80">
        <v>0.194</v>
      </c>
      <c r="B8" s="42">
        <v>0</v>
      </c>
      <c r="C8" s="74"/>
      <c r="D8" s="76"/>
      <c r="E8" s="76"/>
      <c r="F8" s="76"/>
      <c r="G8" s="77"/>
      <c r="W8" s="75">
        <v>0</v>
      </c>
      <c r="X8" s="75">
        <f t="shared" si="0"/>
        <v>0</v>
      </c>
    </row>
    <row r="9" spans="1:24" ht="15">
      <c r="A9" s="80">
        <v>0.195</v>
      </c>
      <c r="B9" s="42">
        <v>0</v>
      </c>
      <c r="C9" s="74"/>
      <c r="D9" s="76"/>
      <c r="E9" s="76"/>
      <c r="F9" s="76"/>
      <c r="G9" s="77"/>
      <c r="W9" s="75">
        <v>0</v>
      </c>
      <c r="X9" s="75">
        <f t="shared" si="0"/>
        <v>0</v>
      </c>
    </row>
    <row r="10" spans="1:24" ht="15">
      <c r="A10" s="80">
        <v>0.196</v>
      </c>
      <c r="B10" s="42">
        <v>0</v>
      </c>
      <c r="C10" s="74"/>
      <c r="D10" s="76"/>
      <c r="E10" s="76"/>
      <c r="F10" s="76"/>
      <c r="G10" s="77"/>
      <c r="W10" s="75">
        <v>0</v>
      </c>
      <c r="X10" s="75">
        <f t="shared" si="0"/>
        <v>0</v>
      </c>
    </row>
    <row r="11" spans="1:24" ht="15">
      <c r="A11" s="80">
        <v>0.197</v>
      </c>
      <c r="B11" s="42">
        <v>0</v>
      </c>
      <c r="C11" s="74"/>
      <c r="D11" s="76"/>
      <c r="E11" s="76"/>
      <c r="F11" s="76"/>
      <c r="G11" s="77"/>
      <c r="W11" s="75">
        <v>0</v>
      </c>
      <c r="X11" s="75">
        <f t="shared" si="0"/>
        <v>0</v>
      </c>
    </row>
    <row r="12" spans="1:24" ht="15">
      <c r="A12" s="80">
        <v>0.198</v>
      </c>
      <c r="B12" s="42">
        <v>0</v>
      </c>
      <c r="C12" s="74"/>
      <c r="D12" s="76"/>
      <c r="E12" s="76"/>
      <c r="F12" s="76"/>
      <c r="G12" s="77"/>
      <c r="W12" s="75">
        <v>0</v>
      </c>
      <c r="X12" s="75">
        <f t="shared" si="0"/>
        <v>0</v>
      </c>
    </row>
    <row r="13" spans="1:24" ht="15">
      <c r="A13" s="80">
        <v>0.199</v>
      </c>
      <c r="B13" s="42">
        <v>0</v>
      </c>
      <c r="C13" s="74"/>
      <c r="D13" s="76"/>
      <c r="E13" s="76"/>
      <c r="F13" s="76"/>
      <c r="G13" s="77"/>
      <c r="W13" s="75">
        <v>0</v>
      </c>
      <c r="X13" s="75">
        <f t="shared" si="0"/>
        <v>0</v>
      </c>
    </row>
    <row r="14" spans="1:24" ht="15">
      <c r="A14" s="80">
        <v>0.2</v>
      </c>
      <c r="B14" s="42">
        <v>0</v>
      </c>
      <c r="C14" s="74"/>
      <c r="D14" s="76"/>
      <c r="E14" s="76"/>
      <c r="F14" s="76"/>
      <c r="G14" s="77"/>
      <c r="W14" s="75">
        <v>0</v>
      </c>
      <c r="X14" s="75">
        <f t="shared" si="0"/>
        <v>0</v>
      </c>
    </row>
    <row r="15" spans="1:24" ht="15">
      <c r="A15" s="80">
        <v>0.201</v>
      </c>
      <c r="B15" s="42">
        <v>0</v>
      </c>
      <c r="C15" s="76"/>
      <c r="D15" s="76"/>
      <c r="E15" s="76"/>
      <c r="F15" s="76"/>
      <c r="G15" s="77"/>
      <c r="W15" s="75">
        <v>0</v>
      </c>
      <c r="X15" s="75">
        <f t="shared" si="0"/>
        <v>0</v>
      </c>
    </row>
    <row r="16" spans="1:24" ht="15">
      <c r="A16" s="80">
        <v>0.202</v>
      </c>
      <c r="B16" s="42">
        <v>0</v>
      </c>
      <c r="C16" s="76"/>
      <c r="D16" s="76"/>
      <c r="E16" s="76"/>
      <c r="F16" s="76"/>
      <c r="G16" s="77"/>
      <c r="W16" s="75">
        <v>0</v>
      </c>
      <c r="X16" s="75">
        <f t="shared" si="0"/>
        <v>0</v>
      </c>
    </row>
    <row r="17" spans="1:24" ht="15">
      <c r="A17" s="80">
        <v>0.203</v>
      </c>
      <c r="B17" s="42">
        <v>0</v>
      </c>
      <c r="C17" s="76"/>
      <c r="D17" s="76"/>
      <c r="E17" s="76"/>
      <c r="F17" s="76"/>
      <c r="G17" s="77"/>
      <c r="W17" s="75">
        <v>0</v>
      </c>
      <c r="X17" s="75">
        <f t="shared" si="0"/>
        <v>0</v>
      </c>
    </row>
    <row r="18" spans="1:24" ht="15">
      <c r="A18" s="80">
        <v>0.20400000000000001</v>
      </c>
      <c r="B18" s="42">
        <v>0</v>
      </c>
      <c r="C18" s="76"/>
      <c r="D18" s="76"/>
      <c r="E18" s="76"/>
      <c r="F18" s="76"/>
      <c r="G18" s="77"/>
      <c r="W18" s="75">
        <v>0</v>
      </c>
      <c r="X18" s="75">
        <f t="shared" si="0"/>
        <v>0</v>
      </c>
    </row>
    <row r="19" spans="1:24" ht="15">
      <c r="A19" s="80">
        <v>0.205</v>
      </c>
      <c r="B19" s="42">
        <v>0</v>
      </c>
      <c r="C19" s="76"/>
      <c r="D19" s="76"/>
      <c r="E19" s="76"/>
      <c r="F19" s="76"/>
      <c r="G19" s="77"/>
      <c r="W19" s="75">
        <v>0</v>
      </c>
      <c r="X19" s="75">
        <f t="shared" si="0"/>
        <v>0</v>
      </c>
    </row>
    <row r="20" spans="1:24" ht="15">
      <c r="A20" s="80">
        <v>0.20600000000000002</v>
      </c>
      <c r="B20" s="42">
        <v>0</v>
      </c>
      <c r="C20" s="76"/>
      <c r="D20" s="76"/>
      <c r="E20" s="76"/>
      <c r="F20" s="76"/>
      <c r="G20" s="77"/>
      <c r="W20" s="75">
        <v>0</v>
      </c>
      <c r="X20" s="75">
        <f t="shared" si="0"/>
        <v>0</v>
      </c>
    </row>
    <row r="21" spans="1:24" ht="15">
      <c r="A21" s="80">
        <v>0.20700000000000002</v>
      </c>
      <c r="B21" s="42">
        <v>0</v>
      </c>
      <c r="C21" s="76"/>
      <c r="D21" s="76"/>
      <c r="E21" s="76"/>
      <c r="F21" s="76"/>
      <c r="G21" s="77"/>
      <c r="W21" s="75">
        <v>0</v>
      </c>
      <c r="X21" s="75">
        <f t="shared" si="0"/>
        <v>0</v>
      </c>
    </row>
    <row r="22" spans="1:24" ht="15">
      <c r="A22" s="80">
        <v>0.20800000000000002</v>
      </c>
      <c r="B22" s="42">
        <v>0</v>
      </c>
      <c r="C22" s="76"/>
      <c r="D22" s="76"/>
      <c r="E22" s="76"/>
      <c r="F22" s="76"/>
      <c r="G22" s="77"/>
      <c r="W22" s="75">
        <v>0</v>
      </c>
      <c r="X22" s="75">
        <f t="shared" si="0"/>
        <v>0</v>
      </c>
    </row>
    <row r="23" spans="1:24" ht="15">
      <c r="A23" s="80">
        <v>0.20900000000000002</v>
      </c>
      <c r="B23" s="42">
        <v>0</v>
      </c>
      <c r="C23" s="76"/>
      <c r="D23" s="76"/>
      <c r="E23" s="76"/>
      <c r="F23" s="76"/>
      <c r="G23" s="77"/>
      <c r="W23" s="75">
        <v>0</v>
      </c>
      <c r="X23" s="75">
        <f t="shared" si="0"/>
        <v>0</v>
      </c>
    </row>
    <row r="24" spans="1:24" ht="15">
      <c r="A24" s="80">
        <v>0.21</v>
      </c>
      <c r="B24" s="42">
        <v>0</v>
      </c>
      <c r="C24" s="76"/>
      <c r="D24" s="76"/>
      <c r="E24" s="76"/>
      <c r="F24" s="76"/>
      <c r="G24" s="77"/>
      <c r="W24" s="75">
        <v>0</v>
      </c>
      <c r="X24" s="75">
        <f t="shared" si="0"/>
        <v>0</v>
      </c>
    </row>
    <row r="25" spans="1:24" ht="15">
      <c r="A25" s="80">
        <v>0.21100000000000002</v>
      </c>
      <c r="B25" s="42">
        <v>0</v>
      </c>
      <c r="C25" s="76"/>
      <c r="D25" s="76"/>
      <c r="E25" s="76"/>
      <c r="F25" s="76"/>
      <c r="G25" s="77"/>
      <c r="W25" s="75">
        <v>0</v>
      </c>
      <c r="X25" s="75">
        <f t="shared" si="0"/>
        <v>0</v>
      </c>
    </row>
    <row r="26" spans="1:24" ht="15">
      <c r="A26" s="80">
        <v>0.21200000000000002</v>
      </c>
      <c r="B26" s="42">
        <v>0</v>
      </c>
      <c r="C26" s="76"/>
      <c r="D26" s="76"/>
      <c r="E26" s="76"/>
      <c r="F26" s="76"/>
      <c r="G26" s="77"/>
      <c r="W26" s="75">
        <v>0</v>
      </c>
      <c r="X26" s="75">
        <f t="shared" si="0"/>
        <v>0</v>
      </c>
    </row>
    <row r="27" spans="1:24" ht="15">
      <c r="A27" s="80">
        <v>0.21300000000000002</v>
      </c>
      <c r="B27" s="42">
        <v>0</v>
      </c>
      <c r="C27" s="76"/>
      <c r="D27" s="76"/>
      <c r="E27" s="76"/>
      <c r="F27" s="76"/>
      <c r="G27" s="77"/>
      <c r="W27" s="75">
        <v>0</v>
      </c>
      <c r="X27" s="75">
        <f t="shared" si="0"/>
        <v>0</v>
      </c>
    </row>
    <row r="28" spans="1:24" ht="15">
      <c r="A28" s="80">
        <v>0.21400000000000002</v>
      </c>
      <c r="B28" s="42">
        <v>0</v>
      </c>
      <c r="C28" s="76"/>
      <c r="D28" s="76"/>
      <c r="E28" s="76"/>
      <c r="F28" s="76"/>
      <c r="G28" s="77"/>
      <c r="W28" s="75">
        <v>0</v>
      </c>
      <c r="X28" s="75">
        <f t="shared" si="0"/>
        <v>0</v>
      </c>
    </row>
    <row r="29" spans="1:24" ht="15">
      <c r="A29" s="80">
        <v>0.215</v>
      </c>
      <c r="B29" s="42">
        <v>0</v>
      </c>
      <c r="C29" s="76"/>
      <c r="D29" s="76"/>
      <c r="E29" s="76"/>
      <c r="F29" s="76"/>
      <c r="G29" s="77"/>
      <c r="W29" s="75">
        <v>0</v>
      </c>
      <c r="X29" s="75">
        <f t="shared" si="0"/>
        <v>0</v>
      </c>
    </row>
    <row r="30" spans="1:24" ht="15">
      <c r="A30" s="80">
        <v>0.21600000000000003</v>
      </c>
      <c r="B30" s="42">
        <v>0</v>
      </c>
      <c r="C30" s="76"/>
      <c r="D30" s="76"/>
      <c r="E30" s="76"/>
      <c r="F30" s="76"/>
      <c r="G30" s="77"/>
      <c r="W30" s="75">
        <v>0</v>
      </c>
      <c r="X30" s="75">
        <f t="shared" si="0"/>
        <v>0</v>
      </c>
    </row>
    <row r="31" spans="1:24" ht="15">
      <c r="A31" s="80">
        <v>0.21700000000000003</v>
      </c>
      <c r="B31" s="42">
        <v>0</v>
      </c>
      <c r="C31" s="76"/>
      <c r="D31" s="76"/>
      <c r="E31" s="76"/>
      <c r="F31" s="76"/>
      <c r="G31" s="77"/>
      <c r="W31" s="75">
        <v>0</v>
      </c>
      <c r="X31" s="75">
        <f t="shared" si="0"/>
        <v>0</v>
      </c>
    </row>
    <row r="32" spans="1:24" ht="15">
      <c r="A32" s="80">
        <v>0.21800000000000003</v>
      </c>
      <c r="B32" s="42">
        <v>0</v>
      </c>
      <c r="C32" s="76"/>
      <c r="D32" s="76"/>
      <c r="E32" s="76"/>
      <c r="F32" s="76"/>
      <c r="G32" s="77"/>
      <c r="W32" s="75">
        <v>0</v>
      </c>
      <c r="X32" s="75">
        <f t="shared" si="0"/>
        <v>0</v>
      </c>
    </row>
    <row r="33" spans="1:24" ht="15">
      <c r="A33" s="80">
        <v>0.21900000000000003</v>
      </c>
      <c r="B33" s="42">
        <v>0</v>
      </c>
      <c r="C33" s="76"/>
      <c r="D33" s="76"/>
      <c r="E33" s="76"/>
      <c r="F33" s="76"/>
      <c r="G33" s="77"/>
      <c r="W33" s="75">
        <v>0</v>
      </c>
      <c r="X33" s="75">
        <f t="shared" si="0"/>
        <v>0</v>
      </c>
    </row>
    <row r="34" spans="1:24" ht="15">
      <c r="A34" s="80">
        <v>0.22</v>
      </c>
      <c r="B34" s="42">
        <v>0</v>
      </c>
      <c r="C34" s="76"/>
      <c r="D34" s="76"/>
      <c r="E34" s="76"/>
      <c r="F34" s="76"/>
      <c r="G34" s="77"/>
      <c r="W34" s="75">
        <v>0</v>
      </c>
      <c r="X34" s="75">
        <f t="shared" si="0"/>
        <v>0</v>
      </c>
    </row>
    <row r="35" spans="1:24" ht="15">
      <c r="A35" s="80">
        <v>0.22100000000000003</v>
      </c>
      <c r="B35" s="42">
        <v>0</v>
      </c>
      <c r="C35" s="76"/>
      <c r="D35" s="76"/>
      <c r="E35" s="76"/>
      <c r="F35" s="76"/>
      <c r="G35" s="77"/>
      <c r="W35" s="75">
        <v>0</v>
      </c>
      <c r="X35" s="75">
        <f t="shared" si="0"/>
        <v>0</v>
      </c>
    </row>
    <row r="36" spans="1:24" ht="15">
      <c r="A36" s="80">
        <v>0.22200000000000003</v>
      </c>
      <c r="B36" s="42">
        <v>0</v>
      </c>
      <c r="C36" s="76"/>
      <c r="D36" s="76"/>
      <c r="E36" s="76"/>
      <c r="F36" s="76"/>
      <c r="G36" s="77"/>
      <c r="W36" s="75">
        <v>0</v>
      </c>
      <c r="X36" s="75">
        <f t="shared" si="0"/>
        <v>0</v>
      </c>
    </row>
    <row r="37" spans="1:24" ht="15">
      <c r="A37" s="80">
        <v>0.22300000000000003</v>
      </c>
      <c r="B37" s="42">
        <v>0</v>
      </c>
      <c r="C37" s="76"/>
      <c r="D37" s="76"/>
      <c r="E37" s="76"/>
      <c r="F37" s="76"/>
      <c r="G37" s="77"/>
      <c r="W37" s="75">
        <v>0</v>
      </c>
      <c r="X37" s="75">
        <f t="shared" si="0"/>
        <v>0</v>
      </c>
    </row>
    <row r="38" spans="1:24" ht="15">
      <c r="A38" s="80">
        <v>0.22400000000000003</v>
      </c>
      <c r="B38" s="42">
        <v>0</v>
      </c>
      <c r="C38" s="76"/>
      <c r="D38" s="76"/>
      <c r="E38" s="76"/>
      <c r="F38" s="76"/>
      <c r="G38" s="77"/>
      <c r="W38" s="75">
        <v>0</v>
      </c>
      <c r="X38" s="75">
        <f t="shared" si="0"/>
        <v>0</v>
      </c>
    </row>
    <row r="39" spans="1:24" ht="15">
      <c r="A39" s="80">
        <v>0.225</v>
      </c>
      <c r="B39" s="42">
        <v>0</v>
      </c>
      <c r="C39" s="76"/>
      <c r="D39" s="76"/>
      <c r="E39" s="76"/>
      <c r="F39" s="76"/>
      <c r="G39" s="77"/>
      <c r="W39" s="75">
        <v>0</v>
      </c>
      <c r="X39" s="75">
        <f t="shared" si="0"/>
        <v>0</v>
      </c>
    </row>
    <row r="40" spans="1:24" ht="15">
      <c r="A40" s="80">
        <v>0.22600000000000003</v>
      </c>
      <c r="B40" s="42">
        <v>0</v>
      </c>
      <c r="C40" s="76"/>
      <c r="D40" s="76"/>
      <c r="E40" s="76"/>
      <c r="F40" s="76"/>
      <c r="G40" s="77"/>
      <c r="W40" s="75">
        <v>0</v>
      </c>
      <c r="X40" s="75">
        <f t="shared" si="0"/>
        <v>0</v>
      </c>
    </row>
    <row r="41" spans="1:24" ht="15">
      <c r="A41" s="80">
        <v>0.22700000000000004</v>
      </c>
      <c r="B41" s="42">
        <v>0</v>
      </c>
      <c r="C41" s="76"/>
      <c r="D41" s="76"/>
      <c r="E41" s="76"/>
      <c r="F41" s="76"/>
      <c r="G41" s="77"/>
      <c r="W41" s="75">
        <v>0</v>
      </c>
      <c r="X41" s="75">
        <f t="shared" si="0"/>
        <v>0</v>
      </c>
    </row>
    <row r="42" spans="1:24" ht="15">
      <c r="A42" s="80">
        <v>0.22800000000000004</v>
      </c>
      <c r="B42" s="42">
        <v>0</v>
      </c>
      <c r="C42" s="76"/>
      <c r="D42" s="76"/>
      <c r="E42" s="76"/>
      <c r="F42" s="76"/>
      <c r="G42" s="77"/>
      <c r="I42" s="150" t="s">
        <v>495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W42" s="75">
        <v>0</v>
      </c>
      <c r="X42" s="75">
        <f t="shared" si="0"/>
        <v>0</v>
      </c>
    </row>
    <row r="43" spans="1:24" ht="15">
      <c r="A43" s="80">
        <v>0.22900000000000004</v>
      </c>
      <c r="B43" s="42">
        <v>0</v>
      </c>
      <c r="C43" s="76"/>
      <c r="D43" s="76"/>
      <c r="E43" s="76"/>
      <c r="F43" s="76"/>
      <c r="G43" s="77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W43" s="75">
        <v>0</v>
      </c>
      <c r="X43" s="75">
        <f t="shared" si="0"/>
        <v>0</v>
      </c>
    </row>
    <row r="44" spans="1:24" ht="15">
      <c r="A44" s="80">
        <v>0.23</v>
      </c>
      <c r="B44" s="42">
        <v>0</v>
      </c>
      <c r="C44" s="76"/>
      <c r="D44" s="76"/>
      <c r="E44" s="76"/>
      <c r="F44" s="76"/>
      <c r="G44" s="77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W44" s="75">
        <v>0</v>
      </c>
      <c r="X44" s="75">
        <f t="shared" si="0"/>
        <v>0</v>
      </c>
    </row>
    <row r="45" spans="1:24" ht="15">
      <c r="A45" s="80">
        <v>0.23100000000000004</v>
      </c>
      <c r="B45" s="42">
        <v>0</v>
      </c>
      <c r="C45" s="76"/>
      <c r="D45" s="76"/>
      <c r="E45" s="76"/>
      <c r="F45" s="76"/>
      <c r="G45" s="77"/>
      <c r="W45" s="75">
        <v>0</v>
      </c>
      <c r="X45" s="75">
        <f t="shared" si="0"/>
        <v>0</v>
      </c>
    </row>
    <row r="46" spans="1:24" ht="15">
      <c r="A46" s="80">
        <v>0.23200000000000004</v>
      </c>
      <c r="B46" s="42">
        <v>0</v>
      </c>
      <c r="C46" s="76"/>
      <c r="D46" s="76"/>
      <c r="E46" s="76"/>
      <c r="F46" s="76"/>
      <c r="G46" s="77"/>
      <c r="I46" s="150" t="s">
        <v>496</v>
      </c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W46" s="75">
        <v>0</v>
      </c>
      <c r="X46" s="75">
        <f t="shared" si="0"/>
        <v>0</v>
      </c>
    </row>
    <row r="47" spans="1:24" ht="15">
      <c r="A47" s="80">
        <v>0.23300000000000004</v>
      </c>
      <c r="B47" s="42">
        <v>0</v>
      </c>
      <c r="C47" s="76"/>
      <c r="D47" s="76"/>
      <c r="E47" s="76"/>
      <c r="F47" s="76"/>
      <c r="G47" s="77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W47" s="75">
        <v>0</v>
      </c>
      <c r="X47" s="75">
        <f t="shared" si="0"/>
        <v>0</v>
      </c>
    </row>
    <row r="48" spans="1:24" ht="15">
      <c r="A48" s="80">
        <v>0.23400000000000004</v>
      </c>
      <c r="B48" s="42">
        <v>0</v>
      </c>
      <c r="C48" s="76"/>
      <c r="D48" s="76"/>
      <c r="E48" s="76"/>
      <c r="F48" s="76"/>
      <c r="G48" s="77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W48" s="75">
        <v>0</v>
      </c>
      <c r="X48" s="75">
        <f t="shared" si="0"/>
        <v>0</v>
      </c>
    </row>
    <row r="49" spans="1:24" ht="15">
      <c r="A49" s="80">
        <v>0.235</v>
      </c>
      <c r="B49" s="42">
        <v>0</v>
      </c>
      <c r="C49" s="76"/>
      <c r="D49" s="76"/>
      <c r="E49" s="76"/>
      <c r="F49" s="76"/>
      <c r="G49" s="77"/>
      <c r="W49" s="75">
        <f>NORMDIST(A49,D59,E59,0)</f>
        <v>0.0019243169953399486</v>
      </c>
      <c r="X49" s="75">
        <f>W49/12</f>
        <v>0.00016035974961166238</v>
      </c>
    </row>
    <row r="50" spans="1:24" ht="15">
      <c r="A50" s="80">
        <v>0.23600000000000004</v>
      </c>
      <c r="B50" s="42">
        <v>1</v>
      </c>
      <c r="C50" s="91" t="s">
        <v>498</v>
      </c>
      <c r="D50" s="76"/>
      <c r="E50" s="76"/>
      <c r="F50" s="76"/>
      <c r="G50" s="77"/>
      <c r="W50" s="75">
        <f>NORMDIST(A50,D59,E59,0)</f>
        <v>0.01652013594424574</v>
      </c>
      <c r="X50" s="75">
        <f>W50/7</f>
        <v>0.002360019420606534</v>
      </c>
    </row>
    <row r="51" spans="1:24" ht="15">
      <c r="A51" s="80">
        <v>0.23700000000000004</v>
      </c>
      <c r="B51" s="42">
        <v>0</v>
      </c>
      <c r="C51" s="76"/>
      <c r="D51" s="76"/>
      <c r="E51" s="76"/>
      <c r="F51" s="76"/>
      <c r="G51" s="77"/>
      <c r="W51" s="75">
        <f>NORMDIST(A51,D59,E59,0)</f>
        <v>0.11353257351743626</v>
      </c>
      <c r="X51" s="75">
        <f t="shared" si="0"/>
        <v>0.016218939073919466</v>
      </c>
    </row>
    <row r="52" spans="1:24" ht="15">
      <c r="A52" s="80">
        <v>0.23800000000000004</v>
      </c>
      <c r="B52" s="42">
        <v>0</v>
      </c>
      <c r="C52" s="76"/>
      <c r="D52" s="76"/>
      <c r="E52" s="76"/>
      <c r="F52" s="76"/>
      <c r="G52" s="77"/>
      <c r="W52" s="75">
        <f>NORMDIST(A52,D59,E59,0)</f>
        <v>0.6245931433029199</v>
      </c>
      <c r="X52" s="75">
        <f t="shared" si="0"/>
        <v>0.08922759190041714</v>
      </c>
    </row>
    <row r="53" spans="1:24" ht="15">
      <c r="A53" s="80">
        <v>0.23900000000000005</v>
      </c>
      <c r="B53" s="42">
        <v>1</v>
      </c>
      <c r="C53" s="91" t="s">
        <v>499</v>
      </c>
      <c r="D53" s="76"/>
      <c r="E53" s="76"/>
      <c r="F53" s="76"/>
      <c r="G53" s="77"/>
      <c r="W53" s="75">
        <f>NORMDIST(A53,D59,E59,0)</f>
        <v>2.75070366744855</v>
      </c>
      <c r="X53" s="75">
        <f t="shared" si="0"/>
        <v>0.39295766677836425</v>
      </c>
    </row>
    <row r="54" spans="1:24" ht="15">
      <c r="A54" s="80">
        <v>0.24</v>
      </c>
      <c r="B54" s="42">
        <v>0</v>
      </c>
      <c r="C54" s="76"/>
      <c r="D54" s="76"/>
      <c r="E54" s="76"/>
      <c r="F54" s="76"/>
      <c r="G54" s="77"/>
      <c r="W54" s="75">
        <f>NORMDIST(A54,D59,E59,0)</f>
        <v>9.697510644343687</v>
      </c>
      <c r="X54" s="75">
        <f t="shared" si="0"/>
        <v>1.3853586634776696</v>
      </c>
    </row>
    <row r="55" spans="1:24" ht="15">
      <c r="A55" s="80">
        <v>0.24100000000000005</v>
      </c>
      <c r="B55" s="42">
        <v>1</v>
      </c>
      <c r="C55" s="76"/>
      <c r="D55" s="76"/>
      <c r="E55" s="76"/>
      <c r="F55" s="76"/>
      <c r="G55" s="77"/>
      <c r="W55" s="75">
        <f>NORMDIST(A55,D59,E59,0)</f>
        <v>27.36822223564835</v>
      </c>
      <c r="X55" s="75">
        <f t="shared" si="0"/>
        <v>3.90974603366405</v>
      </c>
    </row>
    <row r="56" spans="1:24" ht="15">
      <c r="A56" s="80">
        <v>0.24200000000000005</v>
      </c>
      <c r="B56" s="42">
        <v>4</v>
      </c>
      <c r="C56" s="76"/>
      <c r="D56" s="76"/>
      <c r="E56" s="76"/>
      <c r="F56" s="76"/>
      <c r="G56" s="77"/>
      <c r="W56" s="75">
        <f>NORMDIST(A56,D59,E59,0)</f>
        <v>61.830502326798616</v>
      </c>
      <c r="X56" s="75">
        <f t="shared" si="0"/>
        <v>8.832928903828373</v>
      </c>
    </row>
    <row r="57" spans="1:24" ht="15">
      <c r="A57" s="80">
        <v>0.24300000000000005</v>
      </c>
      <c r="B57" s="42">
        <v>13</v>
      </c>
      <c r="C57" s="76"/>
      <c r="D57" s="76"/>
      <c r="E57" s="76"/>
      <c r="F57" s="76"/>
      <c r="G57" s="77"/>
      <c r="W57" s="75">
        <f>NORMDIST(A57,D59,E59,0)</f>
        <v>111.82240440184812</v>
      </c>
      <c r="X57" s="75">
        <f t="shared" si="0"/>
        <v>15.974629200264017</v>
      </c>
    </row>
    <row r="58" spans="1:24" ht="15">
      <c r="A58" s="80">
        <v>0.24400000000000005</v>
      </c>
      <c r="B58" s="42">
        <v>18</v>
      </c>
      <c r="C58" s="76"/>
      <c r="D58" s="76"/>
      <c r="E58" s="76"/>
      <c r="F58" s="76"/>
      <c r="G58" s="77"/>
      <c r="W58" s="75">
        <f>NORMDIST(A58,D59,E59,0)</f>
        <v>161.89175902226586</v>
      </c>
      <c r="X58" s="75">
        <f t="shared" si="0"/>
        <v>23.12739414603798</v>
      </c>
    </row>
    <row r="59" spans="1:24" ht="15">
      <c r="A59" s="80">
        <v>0.245</v>
      </c>
      <c r="B59" s="42">
        <v>20</v>
      </c>
      <c r="C59" s="76"/>
      <c r="D59" s="76">
        <v>0.245163</v>
      </c>
      <c r="E59" s="76">
        <v>0.00212</v>
      </c>
      <c r="F59" s="76">
        <v>0.238</v>
      </c>
      <c r="G59" s="77">
        <v>0.251</v>
      </c>
      <c r="H59" s="165">
        <v>0.009</v>
      </c>
      <c r="W59" s="75">
        <f>NORMDIST(A59,D59,E59,0)</f>
        <v>187.62492076843245</v>
      </c>
      <c r="X59" s="75">
        <f t="shared" si="0"/>
        <v>26.803560109776065</v>
      </c>
    </row>
    <row r="60" spans="1:24" ht="15">
      <c r="A60" s="80">
        <v>0.24600000000000005</v>
      </c>
      <c r="B60" s="42">
        <v>28</v>
      </c>
      <c r="C60" s="76"/>
      <c r="D60" s="76"/>
      <c r="E60" s="76"/>
      <c r="F60" s="76"/>
      <c r="G60" s="77"/>
      <c r="W60" s="75">
        <f>NORMDIST(A60,D59,E59,0)</f>
        <v>174.07089653781068</v>
      </c>
      <c r="X60" s="75">
        <f t="shared" si="0"/>
        <v>24.867270933972954</v>
      </c>
    </row>
    <row r="61" spans="1:24" ht="15">
      <c r="A61" s="80">
        <v>0.24700000000000005</v>
      </c>
      <c r="B61" s="42">
        <v>23</v>
      </c>
      <c r="C61" s="76"/>
      <c r="D61" s="76"/>
      <c r="E61" s="76"/>
      <c r="F61" s="76"/>
      <c r="G61" s="77"/>
      <c r="W61" s="75">
        <f>NORMDIST(A61,D59,E59,0)</f>
        <v>129.28009860809016</v>
      </c>
      <c r="X61" s="75">
        <f t="shared" si="0"/>
        <v>18.46858551544145</v>
      </c>
    </row>
    <row r="62" spans="1:24" ht="15">
      <c r="A62" s="80">
        <v>0.24800000000000005</v>
      </c>
      <c r="B62" s="42">
        <v>9</v>
      </c>
      <c r="C62" s="76"/>
      <c r="D62" s="76"/>
      <c r="E62" s="76"/>
      <c r="F62" s="76"/>
      <c r="G62" s="77"/>
      <c r="W62" s="75">
        <f>NORMDIST(A62,D59,E59,0)</f>
        <v>76.86117998727269</v>
      </c>
      <c r="X62" s="75">
        <f t="shared" si="0"/>
        <v>10.980168569610385</v>
      </c>
    </row>
    <row r="63" spans="1:24" ht="15">
      <c r="A63" s="80">
        <v>0.24900000000000005</v>
      </c>
      <c r="B63" s="42">
        <v>6</v>
      </c>
      <c r="C63" s="76"/>
      <c r="D63" s="76"/>
      <c r="E63" s="76"/>
      <c r="F63" s="76"/>
      <c r="G63" s="77"/>
      <c r="W63" s="75">
        <f>NORMDIST(A63,D59,E59,0)</f>
        <v>36.58072298881509</v>
      </c>
      <c r="X63" s="75">
        <f t="shared" si="0"/>
        <v>5.225817569830727</v>
      </c>
    </row>
    <row r="64" spans="1:24" ht="15">
      <c r="A64" s="80">
        <v>0.25</v>
      </c>
      <c r="B64" s="42">
        <v>1</v>
      </c>
      <c r="C64" s="76"/>
      <c r="D64" s="76"/>
      <c r="E64" s="76"/>
      <c r="F64" s="76"/>
      <c r="G64" s="77"/>
      <c r="W64" s="75">
        <f>NORMDIST(A64,D59,E59,0)</f>
        <v>13.936938581695753</v>
      </c>
      <c r="X64" s="75">
        <f t="shared" si="0"/>
        <v>1.990991225956536</v>
      </c>
    </row>
    <row r="65" spans="1:24" ht="15">
      <c r="A65" s="80">
        <v>0.25100000000000006</v>
      </c>
      <c r="B65" s="42">
        <v>1</v>
      </c>
      <c r="C65" s="76"/>
      <c r="D65" s="76"/>
      <c r="E65" s="76"/>
      <c r="F65" s="76"/>
      <c r="G65" s="77"/>
      <c r="W65" s="75">
        <f>NORMDIST(A65,D59,E59,0)</f>
        <v>4.250620690881156</v>
      </c>
      <c r="X65" s="75">
        <f t="shared" si="0"/>
        <v>0.6072315272687366</v>
      </c>
    </row>
    <row r="66" spans="1:24" ht="15">
      <c r="A66" s="80">
        <v>0.25200000000000006</v>
      </c>
      <c r="B66" s="42">
        <v>2</v>
      </c>
      <c r="C66" s="76"/>
      <c r="D66" s="76"/>
      <c r="E66" s="76"/>
      <c r="F66" s="76"/>
      <c r="G66" s="77"/>
      <c r="W66" s="75">
        <f>NORMDIST(A66,D59,E59,0)</f>
        <v>1.0377845048711851</v>
      </c>
      <c r="X66" s="75">
        <f t="shared" si="0"/>
        <v>0.14825492926731215</v>
      </c>
    </row>
    <row r="67" spans="1:24" ht="15">
      <c r="A67" s="80">
        <v>0.25300000000000006</v>
      </c>
      <c r="B67" s="42">
        <v>0</v>
      </c>
      <c r="C67" s="76"/>
      <c r="D67" s="76"/>
      <c r="E67" s="76"/>
      <c r="F67" s="76"/>
      <c r="G67" s="77"/>
      <c r="W67" s="75">
        <f>NORMDIST(A67,D59,E59,0)</f>
        <v>0.20282985319347374</v>
      </c>
      <c r="X67" s="75">
        <f t="shared" si="0"/>
        <v>0.028975693313353392</v>
      </c>
    </row>
    <row r="68" spans="1:24" ht="15">
      <c r="A68" s="80">
        <v>0.25400000000000006</v>
      </c>
      <c r="B68" s="42">
        <v>0</v>
      </c>
      <c r="C68" s="76"/>
      <c r="D68" s="76"/>
      <c r="E68" s="76"/>
      <c r="F68" s="76"/>
      <c r="G68" s="77"/>
      <c r="W68" s="75">
        <f>NORMDIST(A68,D59,E59,0)</f>
        <v>0.03173411819565628</v>
      </c>
      <c r="X68" s="75">
        <f aca="true" t="shared" si="1" ref="X68:X96">W68/7</f>
        <v>0.004533445456522326</v>
      </c>
    </row>
    <row r="69" spans="1:24" ht="15">
      <c r="A69" s="80">
        <v>0.255</v>
      </c>
      <c r="B69" s="42">
        <v>0</v>
      </c>
      <c r="C69" s="76"/>
      <c r="D69" s="76"/>
      <c r="E69" s="76"/>
      <c r="F69" s="76"/>
      <c r="G69" s="77"/>
      <c r="W69" s="75">
        <f>NORMDIST(A69,D59,E59,0)</f>
        <v>0.0039745764770535924</v>
      </c>
      <c r="X69" s="75">
        <f t="shared" si="1"/>
        <v>0.0005677966395790846</v>
      </c>
    </row>
    <row r="70" spans="1:24" ht="15">
      <c r="A70" s="80">
        <v>0.25600000000000006</v>
      </c>
      <c r="B70" s="42">
        <v>0</v>
      </c>
      <c r="C70" s="76"/>
      <c r="D70" s="76"/>
      <c r="E70" s="76"/>
      <c r="F70" s="76"/>
      <c r="G70" s="77"/>
      <c r="W70" s="75">
        <f>NORMDIST(A70,D59,E59,0)</f>
        <v>0.0003984970815646713</v>
      </c>
      <c r="X70" s="75">
        <f t="shared" si="1"/>
        <v>5.692815450923876E-05</v>
      </c>
    </row>
    <row r="71" spans="1:24" ht="15">
      <c r="A71" s="80">
        <v>0.25700000000000006</v>
      </c>
      <c r="B71" s="42">
        <v>0</v>
      </c>
      <c r="C71" s="76"/>
      <c r="D71" s="76"/>
      <c r="E71" s="76"/>
      <c r="F71" s="76"/>
      <c r="G71" s="77"/>
      <c r="W71" s="75">
        <f>NORMDIST(A71,D59,E59,0)</f>
        <v>3.19837437063068E-05</v>
      </c>
      <c r="X71" s="75">
        <f t="shared" si="1"/>
        <v>4.569106243758114E-06</v>
      </c>
    </row>
    <row r="72" spans="1:24" ht="15">
      <c r="A72" s="80">
        <v>0.25800000000000006</v>
      </c>
      <c r="B72" s="42">
        <v>0</v>
      </c>
      <c r="C72" s="76"/>
      <c r="D72" s="76"/>
      <c r="E72" s="76"/>
      <c r="F72" s="76"/>
      <c r="G72" s="77"/>
      <c r="W72" s="75">
        <v>0</v>
      </c>
      <c r="X72" s="75">
        <f t="shared" si="1"/>
        <v>0</v>
      </c>
    </row>
    <row r="73" spans="1:24" ht="15">
      <c r="A73" s="80">
        <v>0.25900000000000006</v>
      </c>
      <c r="B73" s="42">
        <v>0</v>
      </c>
      <c r="C73" s="76"/>
      <c r="D73" s="76"/>
      <c r="E73" s="76"/>
      <c r="F73" s="76"/>
      <c r="G73" s="77"/>
      <c r="W73" s="75">
        <v>0</v>
      </c>
      <c r="X73" s="75">
        <f t="shared" si="1"/>
        <v>0</v>
      </c>
    </row>
    <row r="74" spans="1:24" ht="15">
      <c r="A74" s="80">
        <v>0.26</v>
      </c>
      <c r="B74" s="42">
        <v>0</v>
      </c>
      <c r="C74" s="76"/>
      <c r="D74" s="76"/>
      <c r="E74" s="76"/>
      <c r="F74" s="76"/>
      <c r="G74" s="77"/>
      <c r="W74" s="75">
        <v>0</v>
      </c>
      <c r="X74" s="75">
        <f t="shared" si="1"/>
        <v>0</v>
      </c>
    </row>
    <row r="75" spans="1:24" ht="15">
      <c r="A75" s="80">
        <v>0.26100000000000007</v>
      </c>
      <c r="B75" s="42">
        <v>1</v>
      </c>
      <c r="C75" s="91" t="s">
        <v>500</v>
      </c>
      <c r="D75" s="76"/>
      <c r="E75" s="76"/>
      <c r="F75" s="76"/>
      <c r="G75" s="77"/>
      <c r="W75" s="75">
        <v>0</v>
      </c>
      <c r="X75" s="75">
        <f t="shared" si="1"/>
        <v>0</v>
      </c>
    </row>
    <row r="76" spans="1:24" ht="15">
      <c r="A76" s="80">
        <v>0.26200000000000007</v>
      </c>
      <c r="B76" s="42">
        <v>0</v>
      </c>
      <c r="C76" s="76"/>
      <c r="D76" s="76"/>
      <c r="E76" s="76"/>
      <c r="F76" s="76"/>
      <c r="G76" s="77"/>
      <c r="W76" s="75">
        <v>0</v>
      </c>
      <c r="X76" s="75">
        <f t="shared" si="1"/>
        <v>0</v>
      </c>
    </row>
    <row r="77" spans="1:24" ht="15">
      <c r="A77" s="80">
        <v>0.26300000000000007</v>
      </c>
      <c r="B77" s="42">
        <v>0</v>
      </c>
      <c r="C77" s="76"/>
      <c r="D77" s="76"/>
      <c r="E77" s="76"/>
      <c r="F77" s="76"/>
      <c r="G77" s="77"/>
      <c r="W77" s="75">
        <v>0</v>
      </c>
      <c r="X77" s="75">
        <f t="shared" si="1"/>
        <v>0</v>
      </c>
    </row>
    <row r="78" spans="1:24" ht="15">
      <c r="A78" s="80">
        <v>0.26400000000000007</v>
      </c>
      <c r="B78" s="42">
        <v>0</v>
      </c>
      <c r="C78" s="76"/>
      <c r="D78" s="76"/>
      <c r="E78" s="76"/>
      <c r="F78" s="76"/>
      <c r="G78" s="77"/>
      <c r="W78" s="75">
        <v>0</v>
      </c>
      <c r="X78" s="75">
        <f t="shared" si="1"/>
        <v>0</v>
      </c>
    </row>
    <row r="79" spans="1:24" ht="15">
      <c r="A79" s="80">
        <v>0.265</v>
      </c>
      <c r="B79" s="42">
        <v>0</v>
      </c>
      <c r="C79" s="76"/>
      <c r="D79" s="76"/>
      <c r="E79" s="76"/>
      <c r="F79" s="76"/>
      <c r="G79" s="77"/>
      <c r="W79" s="75">
        <v>0</v>
      </c>
      <c r="X79" s="75">
        <f t="shared" si="1"/>
        <v>0</v>
      </c>
    </row>
    <row r="80" spans="1:24" ht="15">
      <c r="A80" s="80">
        <v>0.26600000000000007</v>
      </c>
      <c r="B80" s="42">
        <v>0</v>
      </c>
      <c r="C80" s="76"/>
      <c r="D80" s="76"/>
      <c r="E80" s="76"/>
      <c r="F80" s="76"/>
      <c r="G80" s="77"/>
      <c r="W80" s="75">
        <v>0</v>
      </c>
      <c r="X80" s="75">
        <f t="shared" si="1"/>
        <v>0</v>
      </c>
    </row>
    <row r="81" spans="1:24" ht="15">
      <c r="A81" s="80">
        <v>0.26700000000000007</v>
      </c>
      <c r="B81" s="42">
        <v>0</v>
      </c>
      <c r="C81" s="76"/>
      <c r="D81" s="76"/>
      <c r="E81" s="76"/>
      <c r="F81" s="76"/>
      <c r="G81" s="77"/>
      <c r="W81" s="75">
        <v>0</v>
      </c>
      <c r="X81" s="75">
        <f t="shared" si="1"/>
        <v>0</v>
      </c>
    </row>
    <row r="82" spans="1:24" ht="15">
      <c r="A82" s="80">
        <v>0.26800000000000007</v>
      </c>
      <c r="B82" s="42">
        <v>0</v>
      </c>
      <c r="C82" s="76"/>
      <c r="D82" s="76"/>
      <c r="E82" s="76"/>
      <c r="F82" s="76"/>
      <c r="G82" s="77"/>
      <c r="W82" s="75">
        <v>0</v>
      </c>
      <c r="X82" s="75">
        <f t="shared" si="1"/>
        <v>0</v>
      </c>
    </row>
    <row r="83" spans="1:24" ht="15">
      <c r="A83" s="80">
        <v>0.2690000000000001</v>
      </c>
      <c r="B83" s="42">
        <v>0</v>
      </c>
      <c r="C83" s="76"/>
      <c r="D83" s="76"/>
      <c r="E83" s="76"/>
      <c r="F83" s="76"/>
      <c r="G83" s="77"/>
      <c r="W83" s="75">
        <v>0</v>
      </c>
      <c r="X83" s="75">
        <f t="shared" si="1"/>
        <v>0</v>
      </c>
    </row>
    <row r="84" spans="1:24" ht="15">
      <c r="A84" s="80">
        <v>0.27</v>
      </c>
      <c r="B84" s="42">
        <v>0</v>
      </c>
      <c r="C84" s="76"/>
      <c r="D84" s="76"/>
      <c r="E84" s="76"/>
      <c r="F84" s="76"/>
      <c r="G84" s="77"/>
      <c r="W84" s="75">
        <v>0</v>
      </c>
      <c r="X84" s="75">
        <f t="shared" si="1"/>
        <v>0</v>
      </c>
    </row>
    <row r="85" spans="1:24" ht="15">
      <c r="A85" s="80">
        <v>0.2710000000000001</v>
      </c>
      <c r="B85" s="42">
        <v>0</v>
      </c>
      <c r="C85" s="76"/>
      <c r="D85" s="76"/>
      <c r="E85" s="76"/>
      <c r="F85" s="76"/>
      <c r="G85" s="77"/>
      <c r="W85" s="75">
        <v>0</v>
      </c>
      <c r="X85" s="75">
        <f t="shared" si="1"/>
        <v>0</v>
      </c>
    </row>
    <row r="86" spans="1:24" ht="15">
      <c r="A86" s="80">
        <v>0.2720000000000001</v>
      </c>
      <c r="B86" s="42">
        <v>0</v>
      </c>
      <c r="C86" s="91"/>
      <c r="D86" s="76"/>
      <c r="E86" s="76"/>
      <c r="F86" s="76"/>
      <c r="G86" s="77"/>
      <c r="W86" s="75">
        <v>0</v>
      </c>
      <c r="X86" s="75">
        <f t="shared" si="1"/>
        <v>0</v>
      </c>
    </row>
    <row r="87" spans="1:24" ht="15">
      <c r="A87" s="80">
        <v>0.2730000000000001</v>
      </c>
      <c r="B87" s="42">
        <v>0</v>
      </c>
      <c r="C87" s="76"/>
      <c r="D87" s="76"/>
      <c r="E87" s="76"/>
      <c r="F87" s="76"/>
      <c r="G87" s="77"/>
      <c r="W87" s="75">
        <v>0</v>
      </c>
      <c r="X87" s="75">
        <f t="shared" si="1"/>
        <v>0</v>
      </c>
    </row>
    <row r="88" spans="1:24" ht="15">
      <c r="A88" s="80">
        <v>0.2740000000000001</v>
      </c>
      <c r="B88" s="42">
        <v>0</v>
      </c>
      <c r="C88" s="76"/>
      <c r="D88" s="76"/>
      <c r="E88" s="76"/>
      <c r="F88" s="76"/>
      <c r="G88" s="77"/>
      <c r="W88" s="75">
        <v>0</v>
      </c>
      <c r="X88" s="75">
        <f t="shared" si="1"/>
        <v>0</v>
      </c>
    </row>
    <row r="89" spans="1:24" ht="15">
      <c r="A89" s="80">
        <v>0.275</v>
      </c>
      <c r="B89" s="42">
        <v>0</v>
      </c>
      <c r="C89" s="76"/>
      <c r="D89" s="76"/>
      <c r="E89" s="76"/>
      <c r="F89" s="76"/>
      <c r="G89" s="77"/>
      <c r="W89" s="75">
        <v>0</v>
      </c>
      <c r="X89" s="75">
        <f t="shared" si="1"/>
        <v>0</v>
      </c>
    </row>
    <row r="90" spans="1:24" ht="15">
      <c r="A90" s="80">
        <v>0.2760000000000001</v>
      </c>
      <c r="B90" s="42">
        <v>0</v>
      </c>
      <c r="C90" s="76"/>
      <c r="D90" s="76"/>
      <c r="E90" s="76"/>
      <c r="F90" s="76"/>
      <c r="G90" s="77"/>
      <c r="W90" s="75">
        <v>0</v>
      </c>
      <c r="X90" s="75">
        <f t="shared" si="1"/>
        <v>0</v>
      </c>
    </row>
    <row r="91" spans="1:24" ht="15">
      <c r="A91" s="80">
        <v>0.2770000000000001</v>
      </c>
      <c r="B91" s="42">
        <v>0</v>
      </c>
      <c r="C91" s="76"/>
      <c r="D91" s="76"/>
      <c r="E91" s="76"/>
      <c r="F91" s="76"/>
      <c r="G91" s="77"/>
      <c r="W91" s="75">
        <v>0</v>
      </c>
      <c r="X91" s="75">
        <f t="shared" si="1"/>
        <v>0</v>
      </c>
    </row>
    <row r="92" spans="1:24" ht="15">
      <c r="A92" s="80">
        <v>0.2780000000000001</v>
      </c>
      <c r="B92" s="42">
        <v>0</v>
      </c>
      <c r="C92" s="76"/>
      <c r="D92" s="76"/>
      <c r="E92" s="76"/>
      <c r="F92" s="76"/>
      <c r="G92" s="77"/>
      <c r="W92" s="75">
        <v>0</v>
      </c>
      <c r="X92" s="75">
        <f t="shared" si="1"/>
        <v>0</v>
      </c>
    </row>
    <row r="93" spans="1:24" ht="15">
      <c r="A93" s="80">
        <v>0.2790000000000001</v>
      </c>
      <c r="B93" s="42">
        <v>0</v>
      </c>
      <c r="C93" s="76"/>
      <c r="D93" s="76"/>
      <c r="E93" s="76"/>
      <c r="F93" s="76"/>
      <c r="G93" s="77"/>
      <c r="W93" s="75">
        <v>0</v>
      </c>
      <c r="X93" s="75">
        <f t="shared" si="1"/>
        <v>0</v>
      </c>
    </row>
    <row r="94" spans="1:24" ht="15">
      <c r="A94" s="80">
        <v>0.28</v>
      </c>
      <c r="B94" s="42">
        <v>0</v>
      </c>
      <c r="C94" s="76"/>
      <c r="D94" s="76"/>
      <c r="E94" s="76"/>
      <c r="F94" s="76"/>
      <c r="G94" s="77"/>
      <c r="W94" s="75">
        <v>0</v>
      </c>
      <c r="X94" s="75">
        <f t="shared" si="1"/>
        <v>0</v>
      </c>
    </row>
    <row r="95" spans="1:24" ht="15">
      <c r="A95" s="80">
        <v>0.2810000000000001</v>
      </c>
      <c r="B95" s="42">
        <v>1</v>
      </c>
      <c r="C95" s="91" t="s">
        <v>501</v>
      </c>
      <c r="D95" s="76"/>
      <c r="E95" s="76"/>
      <c r="F95" s="76"/>
      <c r="G95" s="77"/>
      <c r="W95" s="75">
        <v>0</v>
      </c>
      <c r="X95" s="75">
        <f t="shared" si="1"/>
        <v>0</v>
      </c>
    </row>
    <row r="96" spans="1:24" ht="15.75" thickBot="1">
      <c r="A96" s="81">
        <v>0.2820000000000001</v>
      </c>
      <c r="B96" s="43">
        <v>0</v>
      </c>
      <c r="C96" s="78"/>
      <c r="D96" s="78"/>
      <c r="E96" s="78"/>
      <c r="F96" s="78"/>
      <c r="G96" s="79"/>
      <c r="W96" s="75">
        <v>0</v>
      </c>
      <c r="X96" s="75">
        <f t="shared" si="1"/>
        <v>0</v>
      </c>
    </row>
    <row r="97" spans="1:2" ht="16.5" thickBot="1" thickTop="1">
      <c r="A97" s="73"/>
      <c r="B97" s="43"/>
    </row>
    <row r="98" spans="1:7" ht="19.5" thickTop="1">
      <c r="A98" s="148" t="s">
        <v>494</v>
      </c>
      <c r="B98" s="149"/>
      <c r="C98" s="149"/>
      <c r="D98" s="149"/>
      <c r="E98" s="149"/>
      <c r="F98" s="71"/>
      <c r="G98" s="72"/>
    </row>
    <row r="99" spans="1:7" ht="15.75">
      <c r="A99" s="67" t="s">
        <v>466</v>
      </c>
      <c r="B99" s="68" t="s">
        <v>465</v>
      </c>
      <c r="C99" s="68" t="s">
        <v>54</v>
      </c>
      <c r="D99" s="69" t="s">
        <v>463</v>
      </c>
      <c r="E99" s="69" t="s">
        <v>464</v>
      </c>
      <c r="F99" s="69" t="s">
        <v>491</v>
      </c>
      <c r="G99" s="70" t="s">
        <v>492</v>
      </c>
    </row>
    <row r="100" spans="1:7" ht="15">
      <c r="A100" s="80">
        <v>13</v>
      </c>
      <c r="B100" s="42">
        <v>0</v>
      </c>
      <c r="C100" s="76"/>
      <c r="D100" s="76">
        <f>AVERAGE(Measurements!E3:E134)</f>
        <v>20.07723022655907</v>
      </c>
      <c r="E100" s="76">
        <f>STDEV(Measurements!E3:E134)</f>
        <v>1.5609563079400994</v>
      </c>
      <c r="F100" s="76">
        <f>MINA(Measurements!E3:E134)</f>
        <v>14.446729260983489</v>
      </c>
      <c r="G100" s="77">
        <f>MAXA(Measurements!E3:E134)</f>
        <v>26.11617353606414</v>
      </c>
    </row>
    <row r="101" spans="1:7" ht="15">
      <c r="A101" s="80">
        <f>A100+1</f>
        <v>14</v>
      </c>
      <c r="B101" s="42">
        <v>0</v>
      </c>
      <c r="C101" s="74"/>
      <c r="D101" s="76"/>
      <c r="E101" s="76"/>
      <c r="F101" s="76"/>
      <c r="G101" s="77"/>
    </row>
    <row r="102" spans="1:7" ht="15">
      <c r="A102" s="80">
        <f aca="true" t="shared" si="2" ref="A102:A114">A101+1</f>
        <v>15</v>
      </c>
      <c r="B102" s="42">
        <v>1</v>
      </c>
      <c r="C102" s="91" t="s">
        <v>462</v>
      </c>
      <c r="D102" s="76"/>
      <c r="E102" s="76"/>
      <c r="F102" s="76"/>
      <c r="G102" s="77"/>
    </row>
    <row r="103" spans="1:7" ht="15">
      <c r="A103" s="80">
        <f t="shared" si="2"/>
        <v>16</v>
      </c>
      <c r="B103" s="42">
        <v>0</v>
      </c>
      <c r="C103" s="74"/>
      <c r="D103" s="76"/>
      <c r="E103" s="76"/>
      <c r="F103" s="76"/>
      <c r="G103" s="77"/>
    </row>
    <row r="104" spans="1:7" ht="15">
      <c r="A104" s="80">
        <f t="shared" si="2"/>
        <v>17</v>
      </c>
      <c r="B104" s="42">
        <v>0</v>
      </c>
      <c r="C104" s="74"/>
      <c r="D104" s="76"/>
      <c r="E104" s="76"/>
      <c r="F104" s="76"/>
      <c r="G104" s="77"/>
    </row>
    <row r="105" spans="1:7" ht="15">
      <c r="A105" s="80">
        <f t="shared" si="2"/>
        <v>18</v>
      </c>
      <c r="B105" s="42">
        <v>8</v>
      </c>
      <c r="C105" s="74"/>
      <c r="D105" s="76"/>
      <c r="E105" s="76"/>
      <c r="F105" s="76"/>
      <c r="G105" s="77"/>
    </row>
    <row r="106" spans="1:7" ht="15">
      <c r="A106" s="80">
        <f t="shared" si="2"/>
        <v>19</v>
      </c>
      <c r="B106" s="42">
        <v>21</v>
      </c>
      <c r="C106" s="74"/>
      <c r="D106" s="76"/>
      <c r="E106" s="76"/>
      <c r="F106" s="76"/>
      <c r="G106" s="77"/>
    </row>
    <row r="107" spans="1:7" ht="15">
      <c r="A107" s="80">
        <f t="shared" si="2"/>
        <v>20</v>
      </c>
      <c r="B107" s="42">
        <v>36</v>
      </c>
      <c r="C107" s="74"/>
      <c r="D107" s="76"/>
      <c r="E107" s="76"/>
      <c r="F107" s="76"/>
      <c r="G107" s="77"/>
    </row>
    <row r="108" spans="1:7" ht="15">
      <c r="A108" s="80">
        <f t="shared" si="2"/>
        <v>21</v>
      </c>
      <c r="B108" s="42">
        <v>31</v>
      </c>
      <c r="C108" s="74"/>
      <c r="D108" s="76"/>
      <c r="E108" s="76"/>
      <c r="F108" s="76"/>
      <c r="G108" s="77"/>
    </row>
    <row r="109" spans="1:7" ht="15">
      <c r="A109" s="80">
        <f t="shared" si="2"/>
        <v>22</v>
      </c>
      <c r="B109" s="42">
        <v>20</v>
      </c>
      <c r="C109" s="74"/>
      <c r="D109" s="76"/>
      <c r="E109" s="76"/>
      <c r="F109" s="76"/>
      <c r="G109" s="77"/>
    </row>
    <row r="110" spans="1:7" ht="15">
      <c r="A110" s="80">
        <f t="shared" si="2"/>
        <v>23</v>
      </c>
      <c r="B110" s="42">
        <v>7</v>
      </c>
      <c r="C110" s="74"/>
      <c r="D110" s="76"/>
      <c r="E110" s="76"/>
      <c r="F110" s="76"/>
      <c r="G110" s="77"/>
    </row>
    <row r="111" spans="1:7" ht="15">
      <c r="A111" s="80">
        <f t="shared" si="2"/>
        <v>24</v>
      </c>
      <c r="B111" s="42">
        <v>4</v>
      </c>
      <c r="C111" s="74"/>
      <c r="D111" s="76"/>
      <c r="E111" s="76"/>
      <c r="F111" s="76"/>
      <c r="G111" s="77"/>
    </row>
    <row r="112" spans="1:7" ht="15">
      <c r="A112" s="80">
        <f t="shared" si="2"/>
        <v>25</v>
      </c>
      <c r="B112" s="42">
        <v>0</v>
      </c>
      <c r="C112" s="76"/>
      <c r="D112" s="76"/>
      <c r="E112" s="76"/>
      <c r="F112" s="76"/>
      <c r="G112" s="77"/>
    </row>
    <row r="113" spans="1:7" ht="15">
      <c r="A113" s="80">
        <f t="shared" si="2"/>
        <v>26</v>
      </c>
      <c r="B113" s="42">
        <v>0</v>
      </c>
      <c r="C113" s="76"/>
      <c r="D113" s="76"/>
      <c r="E113" s="76"/>
      <c r="F113" s="76"/>
      <c r="G113" s="77"/>
    </row>
    <row r="114" spans="1:7" ht="15.75" thickBot="1">
      <c r="A114" s="83">
        <f t="shared" si="2"/>
        <v>27</v>
      </c>
      <c r="B114" s="43">
        <v>1</v>
      </c>
      <c r="C114" s="92" t="s">
        <v>462</v>
      </c>
      <c r="D114" s="84"/>
      <c r="E114" s="84"/>
      <c r="F114" s="84"/>
      <c r="G114" s="85"/>
    </row>
    <row r="115" spans="1:9" ht="15">
      <c r="A115" s="73"/>
      <c r="B115" s="74"/>
      <c r="C115" s="76"/>
      <c r="D115" s="76"/>
      <c r="E115" s="76"/>
      <c r="F115" s="76"/>
      <c r="G115" s="76"/>
      <c r="H115" s="76"/>
      <c r="I115" s="76"/>
    </row>
    <row r="116" spans="1:9" ht="15">
      <c r="A116" s="73"/>
      <c r="B116" s="74"/>
      <c r="C116" s="76"/>
      <c r="D116" s="76"/>
      <c r="E116" s="76"/>
      <c r="F116" s="76"/>
      <c r="G116" s="76"/>
      <c r="H116" s="76"/>
      <c r="I116" s="76"/>
    </row>
    <row r="117" spans="1:9" ht="15">
      <c r="A117" s="127">
        <v>430</v>
      </c>
      <c r="B117" s="42">
        <v>1</v>
      </c>
      <c r="C117" t="str">
        <f>[2]!DEC2HEX(A117)</f>
        <v>1AE</v>
      </c>
      <c r="D117" s="76"/>
      <c r="E117" s="76"/>
      <c r="F117" s="76"/>
      <c r="G117" s="76"/>
      <c r="H117" s="76"/>
      <c r="I117" s="76"/>
    </row>
    <row r="118" spans="1:9" ht="15">
      <c r="A118" s="127">
        <v>440</v>
      </c>
      <c r="B118" s="42">
        <v>0</v>
      </c>
      <c r="C118" t="str">
        <f>[2]!DEC2HEX(A118)</f>
        <v>1B8</v>
      </c>
      <c r="D118" s="76"/>
      <c r="E118" s="76"/>
      <c r="F118" s="76"/>
      <c r="G118" s="76"/>
      <c r="H118" s="76"/>
      <c r="I118" s="76"/>
    </row>
    <row r="119" spans="1:9" ht="15">
      <c r="A119" s="127">
        <v>450</v>
      </c>
      <c r="B119" s="42">
        <v>0</v>
      </c>
      <c r="C119" t="str">
        <f>[2]!DEC2HEX(A119)</f>
        <v>1C2</v>
      </c>
      <c r="D119" s="76"/>
      <c r="E119" s="76"/>
      <c r="F119" s="76"/>
      <c r="G119" s="76"/>
      <c r="H119" s="76"/>
      <c r="I119" s="76"/>
    </row>
    <row r="120" spans="1:9" ht="15">
      <c r="A120" s="127">
        <v>460</v>
      </c>
      <c r="B120" s="42">
        <v>0</v>
      </c>
      <c r="C120" t="str">
        <f>[2]!DEC2HEX(A120)</f>
        <v>1CC</v>
      </c>
      <c r="D120" s="76"/>
      <c r="E120" s="76"/>
      <c r="F120" s="76"/>
      <c r="G120" s="76"/>
      <c r="H120" s="76"/>
      <c r="I120" s="76"/>
    </row>
    <row r="121" spans="1:9" ht="15">
      <c r="A121" s="127">
        <v>470</v>
      </c>
      <c r="B121" s="42">
        <v>0</v>
      </c>
      <c r="C121" t="str">
        <f>[2]!DEC2HEX(A121)</f>
        <v>1D6</v>
      </c>
      <c r="D121" s="76"/>
      <c r="E121" s="76"/>
      <c r="F121" s="76"/>
      <c r="G121" s="76"/>
      <c r="H121" s="76"/>
      <c r="I121" s="76"/>
    </row>
    <row r="122" spans="1:9" ht="15">
      <c r="A122" s="127">
        <v>480</v>
      </c>
      <c r="B122" s="42">
        <v>0</v>
      </c>
      <c r="C122" t="str">
        <f>[2]!DEC2HEX(A122)</f>
        <v>1E0</v>
      </c>
      <c r="D122" s="76"/>
      <c r="E122" s="76"/>
      <c r="F122" s="76"/>
      <c r="G122" s="76"/>
      <c r="H122" s="76"/>
      <c r="I122" s="76"/>
    </row>
    <row r="123" spans="1:9" ht="15">
      <c r="A123" s="127">
        <v>490</v>
      </c>
      <c r="B123" s="42">
        <v>0</v>
      </c>
      <c r="C123" t="str">
        <f>[2]!DEC2HEX(A123)</f>
        <v>1EA</v>
      </c>
      <c r="D123" s="76"/>
      <c r="E123" s="76"/>
      <c r="F123" s="76"/>
      <c r="G123" s="76"/>
      <c r="H123" s="76"/>
      <c r="I123" s="76"/>
    </row>
    <row r="124" spans="1:9" ht="15">
      <c r="A124" s="127">
        <v>500</v>
      </c>
      <c r="B124" s="42">
        <v>0</v>
      </c>
      <c r="C124" t="str">
        <f>[2]!DEC2HEX(A124)</f>
        <v>1F4</v>
      </c>
      <c r="D124" s="76"/>
      <c r="E124" s="76"/>
      <c r="F124" s="76"/>
      <c r="G124" s="76"/>
      <c r="H124" s="76"/>
      <c r="I124" s="76"/>
    </row>
    <row r="125" spans="1:9" ht="15">
      <c r="A125" s="127">
        <v>510</v>
      </c>
      <c r="B125" s="42">
        <v>0</v>
      </c>
      <c r="C125" t="str">
        <f>[2]!DEC2HEX(A125)</f>
        <v>1FE</v>
      </c>
      <c r="D125" s="76"/>
      <c r="E125" s="76"/>
      <c r="F125" s="76"/>
      <c r="G125" s="76"/>
      <c r="H125" s="76"/>
      <c r="I125" s="76"/>
    </row>
    <row r="126" spans="1:9" ht="15">
      <c r="A126" s="127">
        <v>520</v>
      </c>
      <c r="B126" s="42">
        <v>0</v>
      </c>
      <c r="C126" t="str">
        <f>[2]!DEC2HEX(A126)</f>
        <v>208</v>
      </c>
      <c r="D126" s="76"/>
      <c r="E126" s="76"/>
      <c r="F126" s="76"/>
      <c r="G126" s="76"/>
      <c r="H126" s="76"/>
      <c r="I126" s="76"/>
    </row>
    <row r="127" spans="1:9" ht="15">
      <c r="A127" s="127">
        <v>530</v>
      </c>
      <c r="B127" s="42">
        <v>0</v>
      </c>
      <c r="C127" t="str">
        <f>[2]!DEC2HEX(A127)</f>
        <v>212</v>
      </c>
      <c r="D127" s="76"/>
      <c r="E127" s="76"/>
      <c r="F127" s="76"/>
      <c r="G127" s="76"/>
      <c r="H127" s="76"/>
      <c r="I127" s="76"/>
    </row>
    <row r="128" spans="1:9" ht="15">
      <c r="A128" s="127">
        <v>540</v>
      </c>
      <c r="B128" s="42">
        <v>0</v>
      </c>
      <c r="C128" t="str">
        <f>[2]!DEC2HEX(A128)</f>
        <v>21C</v>
      </c>
      <c r="D128" s="76"/>
      <c r="E128" s="76"/>
      <c r="F128" s="76"/>
      <c r="G128" s="76"/>
      <c r="H128" s="76"/>
      <c r="I128" s="76"/>
    </row>
    <row r="129" spans="1:9" ht="15">
      <c r="A129" s="127">
        <v>550</v>
      </c>
      <c r="B129" s="42">
        <v>0</v>
      </c>
      <c r="C129" t="str">
        <f>[2]!DEC2HEX(A129)</f>
        <v>226</v>
      </c>
      <c r="D129" s="76"/>
      <c r="E129" s="76"/>
      <c r="F129" s="76"/>
      <c r="G129" s="76"/>
      <c r="H129" s="76"/>
      <c r="I129" s="76"/>
    </row>
    <row r="130" spans="1:9" ht="15">
      <c r="A130" s="127">
        <v>560</v>
      </c>
      <c r="B130" s="42">
        <v>0</v>
      </c>
      <c r="C130" t="str">
        <f>[2]!DEC2HEX(A130)</f>
        <v>230</v>
      </c>
      <c r="D130" s="76"/>
      <c r="E130" s="76"/>
      <c r="F130" s="76"/>
      <c r="G130" s="76"/>
      <c r="H130" s="76"/>
      <c r="I130" s="76"/>
    </row>
    <row r="131" spans="1:9" ht="15">
      <c r="A131" s="127">
        <v>570</v>
      </c>
      <c r="B131" s="42">
        <v>0</v>
      </c>
      <c r="C131" t="str">
        <f>[2]!DEC2HEX(A131)</f>
        <v>23A</v>
      </c>
      <c r="D131" s="76"/>
      <c r="E131" s="76"/>
      <c r="F131" s="76"/>
      <c r="G131" s="76"/>
      <c r="H131" s="76"/>
      <c r="I131" s="76"/>
    </row>
    <row r="132" spans="1:9" ht="15">
      <c r="A132" s="127">
        <v>580</v>
      </c>
      <c r="B132" s="42">
        <v>0</v>
      </c>
      <c r="C132" t="str">
        <f>[2]!DEC2HEX(A132)</f>
        <v>244</v>
      </c>
      <c r="D132" s="76"/>
      <c r="E132" s="76"/>
      <c r="F132" s="76"/>
      <c r="G132" s="76"/>
      <c r="H132" s="76"/>
      <c r="I132" s="76"/>
    </row>
    <row r="133" spans="1:9" ht="15">
      <c r="A133" s="127">
        <v>590</v>
      </c>
      <c r="B133" s="42">
        <v>0</v>
      </c>
      <c r="C133" t="str">
        <f>[2]!DEC2HEX(A133)</f>
        <v>24E</v>
      </c>
      <c r="D133" s="76"/>
      <c r="E133" s="76"/>
      <c r="F133" s="76"/>
      <c r="G133" s="76"/>
      <c r="H133" s="76"/>
      <c r="I133" s="76"/>
    </row>
    <row r="134" spans="1:9" ht="15">
      <c r="A134" s="127">
        <v>600</v>
      </c>
      <c r="B134" s="42">
        <v>0</v>
      </c>
      <c r="C134" t="str">
        <f>[2]!DEC2HEX(A134)</f>
        <v>258</v>
      </c>
      <c r="D134" s="76"/>
      <c r="E134" s="76"/>
      <c r="F134" s="76"/>
      <c r="G134" s="76"/>
      <c r="H134" s="76"/>
      <c r="I134" s="76"/>
    </row>
    <row r="135" spans="1:9" ht="15">
      <c r="A135" s="127">
        <v>610</v>
      </c>
      <c r="B135" s="42">
        <v>0</v>
      </c>
      <c r="C135" t="str">
        <f>[2]!DEC2HEX(A135)</f>
        <v>262</v>
      </c>
      <c r="D135" s="76"/>
      <c r="E135" s="76"/>
      <c r="F135" s="76"/>
      <c r="G135" s="76"/>
      <c r="H135" s="76"/>
      <c r="I135" s="76"/>
    </row>
    <row r="136" spans="1:9" ht="15">
      <c r="A136" s="127">
        <v>620</v>
      </c>
      <c r="B136" s="42">
        <v>1</v>
      </c>
      <c r="C136" t="str">
        <f>[2]!DEC2HEX(A136)</f>
        <v>26C</v>
      </c>
      <c r="D136" s="76"/>
      <c r="E136" s="76"/>
      <c r="F136" s="76"/>
      <c r="G136" s="76"/>
      <c r="H136" s="76"/>
      <c r="I136" s="76"/>
    </row>
    <row r="137" spans="1:9" ht="15">
      <c r="A137" s="127">
        <v>630</v>
      </c>
      <c r="B137" s="42">
        <v>1</v>
      </c>
      <c r="C137" t="str">
        <f>[2]!DEC2HEX(A137)</f>
        <v>276</v>
      </c>
      <c r="D137" s="76"/>
      <c r="E137" s="76"/>
      <c r="F137" s="76"/>
      <c r="G137" s="76"/>
      <c r="H137" s="76"/>
      <c r="I137" s="76"/>
    </row>
    <row r="138" spans="1:9" ht="15">
      <c r="A138" s="127">
        <v>640</v>
      </c>
      <c r="B138" s="42">
        <v>5</v>
      </c>
      <c r="C138" t="str">
        <f>[2]!DEC2HEX(A138)</f>
        <v>280</v>
      </c>
      <c r="D138" s="76"/>
      <c r="E138" s="76"/>
      <c r="F138" s="76"/>
      <c r="G138" s="76"/>
      <c r="H138" s="76"/>
      <c r="I138" s="76"/>
    </row>
    <row r="139" spans="1:9" ht="15">
      <c r="A139" s="127">
        <v>650</v>
      </c>
      <c r="B139" s="42">
        <v>32</v>
      </c>
      <c r="C139" t="str">
        <f>[2]!DEC2HEX(A139)</f>
        <v>28A</v>
      </c>
      <c r="D139" s="76"/>
      <c r="E139" s="76"/>
      <c r="F139" s="76"/>
      <c r="G139" s="76"/>
      <c r="H139" s="76"/>
      <c r="I139" s="76"/>
    </row>
    <row r="140" spans="1:9" ht="15">
      <c r="A140" s="127">
        <v>660</v>
      </c>
      <c r="B140" s="42">
        <v>56</v>
      </c>
      <c r="C140" t="str">
        <f>[2]!DEC2HEX(A140)</f>
        <v>294</v>
      </c>
      <c r="D140" s="76"/>
      <c r="E140" s="76"/>
      <c r="F140" s="76"/>
      <c r="G140" s="76"/>
      <c r="H140" s="76"/>
      <c r="I140" s="76"/>
    </row>
    <row r="141" spans="1:9" ht="15">
      <c r="A141" s="127">
        <v>670</v>
      </c>
      <c r="B141" s="42">
        <v>27</v>
      </c>
      <c r="C141" t="str">
        <f>[2]!DEC2HEX(A141)</f>
        <v>29E</v>
      </c>
      <c r="D141" s="76"/>
      <c r="E141" s="76"/>
      <c r="F141" s="76"/>
      <c r="G141" s="76"/>
      <c r="H141" s="76"/>
      <c r="I141" s="76"/>
    </row>
    <row r="142" spans="1:9" ht="15">
      <c r="A142" s="127">
        <v>680</v>
      </c>
      <c r="B142" s="42">
        <v>3</v>
      </c>
      <c r="C142" t="str">
        <f>[2]!DEC2HEX(A142)</f>
        <v>2A8</v>
      </c>
      <c r="D142" s="76"/>
      <c r="E142" s="76"/>
      <c r="F142" s="76"/>
      <c r="G142" s="76"/>
      <c r="H142" s="76"/>
      <c r="I142" s="76"/>
    </row>
    <row r="143" spans="1:9" ht="15">
      <c r="A143" s="127">
        <v>690</v>
      </c>
      <c r="B143" s="42">
        <v>2</v>
      </c>
      <c r="C143" t="str">
        <f>[2]!DEC2HEX(A143)</f>
        <v>2B2</v>
      </c>
      <c r="D143" s="76"/>
      <c r="E143" s="76"/>
      <c r="F143" s="76"/>
      <c r="G143" s="76"/>
      <c r="H143" s="76"/>
      <c r="I143" s="76"/>
    </row>
    <row r="144" spans="1:9" ht="15">
      <c r="A144" s="127">
        <v>700</v>
      </c>
      <c r="B144" s="42">
        <v>0</v>
      </c>
      <c r="C144" t="str">
        <f>[2]!DEC2HEX(A144)</f>
        <v>2BC</v>
      </c>
      <c r="D144" s="76"/>
      <c r="E144" s="76"/>
      <c r="F144" s="76"/>
      <c r="G144" s="76"/>
      <c r="H144" s="76"/>
      <c r="I144" s="76"/>
    </row>
    <row r="145" spans="1:9" ht="15">
      <c r="A145" s="127">
        <v>710</v>
      </c>
      <c r="B145" s="42">
        <v>0</v>
      </c>
      <c r="C145" t="str">
        <f>[2]!DEC2HEX(A145)</f>
        <v>2C6</v>
      </c>
      <c r="D145" s="76"/>
      <c r="E145" s="76"/>
      <c r="F145" s="76"/>
      <c r="G145" s="76"/>
      <c r="H145" s="76"/>
      <c r="I145" s="76"/>
    </row>
    <row r="146" spans="1:9" ht="15">
      <c r="A146" s="127">
        <v>720</v>
      </c>
      <c r="B146" s="42">
        <v>1</v>
      </c>
      <c r="C146" t="str">
        <f>[2]!DEC2HEX(A146)</f>
        <v>2D0</v>
      </c>
      <c r="D146" s="76"/>
      <c r="E146" s="76"/>
      <c r="F146" s="76"/>
      <c r="G146" s="76"/>
      <c r="H146" s="76"/>
      <c r="I146" s="76"/>
    </row>
    <row r="147" spans="1:9" ht="15">
      <c r="A147" s="127">
        <v>730</v>
      </c>
      <c r="B147" s="42">
        <v>0</v>
      </c>
      <c r="C147" t="str">
        <f>[2]!DEC2HEX(A147)</f>
        <v>2DA</v>
      </c>
      <c r="D147" s="76"/>
      <c r="E147" s="76"/>
      <c r="F147" s="76"/>
      <c r="G147" s="76"/>
      <c r="H147" s="76"/>
      <c r="I147" s="76"/>
    </row>
    <row r="148" spans="1:9" ht="15">
      <c r="A148" s="127">
        <v>740</v>
      </c>
      <c r="B148" s="42">
        <v>0</v>
      </c>
      <c r="C148" t="str">
        <f>[2]!DEC2HEX(A148)</f>
        <v>2E4</v>
      </c>
      <c r="D148" s="76"/>
      <c r="E148" s="76"/>
      <c r="F148" s="76"/>
      <c r="G148" s="76"/>
      <c r="H148" s="76"/>
      <c r="I148" s="76"/>
    </row>
    <row r="149" spans="1:9" ht="15">
      <c r="A149" s="127">
        <v>750</v>
      </c>
      <c r="B149" s="42">
        <v>0</v>
      </c>
      <c r="C149" t="str">
        <f>[2]!DEC2HEX(A149)</f>
        <v>2EE</v>
      </c>
      <c r="D149" s="76"/>
      <c r="E149" s="76"/>
      <c r="F149" s="76"/>
      <c r="G149" s="76"/>
      <c r="H149" s="76"/>
      <c r="I149" s="76"/>
    </row>
    <row r="150" spans="1:9" ht="15">
      <c r="A150" s="127">
        <v>760</v>
      </c>
      <c r="B150" s="42">
        <v>0</v>
      </c>
      <c r="C150" t="str">
        <f>[2]!DEC2HEX(A150)</f>
        <v>2F8</v>
      </c>
      <c r="D150" s="76"/>
      <c r="E150" s="76"/>
      <c r="F150" s="76"/>
      <c r="G150" s="76"/>
      <c r="H150" s="76"/>
      <c r="I150" s="76"/>
    </row>
    <row r="151" spans="1:9" ht="15">
      <c r="A151" s="127">
        <v>770</v>
      </c>
      <c r="B151" s="42">
        <v>0</v>
      </c>
      <c r="C151" t="str">
        <f>[2]!DEC2HEX(A151)</f>
        <v>302</v>
      </c>
      <c r="D151" s="76"/>
      <c r="E151" s="76"/>
      <c r="F151" s="76"/>
      <c r="G151" s="76"/>
      <c r="H151" s="76"/>
      <c r="I151" s="76"/>
    </row>
    <row r="152" spans="1:9" ht="15">
      <c r="A152" s="127">
        <v>780</v>
      </c>
      <c r="B152" s="42">
        <v>0</v>
      </c>
      <c r="C152" t="str">
        <f>[2]!DEC2HEX(A152)</f>
        <v>30C</v>
      </c>
      <c r="D152" s="76"/>
      <c r="E152" s="76"/>
      <c r="F152" s="76"/>
      <c r="G152" s="76"/>
      <c r="H152" s="76"/>
      <c r="I152" s="76"/>
    </row>
    <row r="153" spans="1:9" ht="15">
      <c r="A153" s="127">
        <v>790</v>
      </c>
      <c r="B153" s="42">
        <v>0</v>
      </c>
      <c r="C153" t="str">
        <f>[2]!DEC2HEX(A153)</f>
        <v>316</v>
      </c>
      <c r="D153" s="76"/>
      <c r="E153" s="76"/>
      <c r="F153" s="76"/>
      <c r="G153" s="76"/>
      <c r="H153" s="76"/>
      <c r="I153" s="76"/>
    </row>
    <row r="154" spans="1:9" ht="15">
      <c r="A154" s="127">
        <v>800</v>
      </c>
      <c r="B154" s="42">
        <v>0</v>
      </c>
      <c r="C154" t="str">
        <f>[2]!DEC2HEX(A154)</f>
        <v>320</v>
      </c>
      <c r="D154" s="76"/>
      <c r="E154" s="76"/>
      <c r="F154" s="76"/>
      <c r="G154" s="76"/>
      <c r="H154" s="76"/>
      <c r="I154" s="76"/>
    </row>
    <row r="155" spans="1:9" ht="15">
      <c r="A155" s="127">
        <v>810</v>
      </c>
      <c r="B155" s="42">
        <v>1</v>
      </c>
      <c r="C155" t="str">
        <f>[2]!DEC2HEX(A155)</f>
        <v>32A</v>
      </c>
      <c r="D155" s="76"/>
      <c r="E155" s="76"/>
      <c r="F155" s="76"/>
      <c r="G155" s="76"/>
      <c r="H155" s="76"/>
      <c r="I155" s="76"/>
    </row>
    <row r="156" spans="1:9" ht="15">
      <c r="A156" s="127">
        <v>820</v>
      </c>
      <c r="B156" s="42">
        <v>0</v>
      </c>
      <c r="C156" t="str">
        <f>[2]!DEC2HEX(A156)</f>
        <v>334</v>
      </c>
      <c r="D156" s="76"/>
      <c r="E156" s="76"/>
      <c r="F156" s="76"/>
      <c r="G156" s="76"/>
      <c r="H156" s="76"/>
      <c r="I156" s="76"/>
    </row>
    <row r="157" spans="1:9" ht="15">
      <c r="A157" s="127">
        <v>830</v>
      </c>
      <c r="B157" s="42">
        <v>0</v>
      </c>
      <c r="C157" t="str">
        <f>[2]!DEC2HEX(A157)</f>
        <v>33E</v>
      </c>
      <c r="D157" s="76"/>
      <c r="E157" s="76"/>
      <c r="F157" s="76"/>
      <c r="G157" s="76"/>
      <c r="H157" s="76"/>
      <c r="I157" s="76"/>
    </row>
    <row r="158" spans="1:9" ht="15">
      <c r="A158" s="127">
        <v>840</v>
      </c>
      <c r="B158" s="42">
        <v>0</v>
      </c>
      <c r="C158" t="str">
        <f>[2]!DEC2HEX(A158)</f>
        <v>348</v>
      </c>
      <c r="D158" s="76"/>
      <c r="E158" s="76"/>
      <c r="F158" s="76"/>
      <c r="G158" s="76"/>
      <c r="H158" s="76"/>
      <c r="I158" s="76"/>
    </row>
    <row r="159" spans="1:9" ht="15">
      <c r="A159" s="127">
        <v>850</v>
      </c>
      <c r="B159" s="42">
        <v>0</v>
      </c>
      <c r="C159" t="str">
        <f>[2]!DEC2HEX(A159)</f>
        <v>352</v>
      </c>
      <c r="D159" s="76"/>
      <c r="E159" s="76"/>
      <c r="F159" s="76"/>
      <c r="G159" s="76"/>
      <c r="H159" s="76"/>
      <c r="I159" s="76"/>
    </row>
    <row r="160" spans="1:9" ht="15">
      <c r="A160" s="127">
        <v>860</v>
      </c>
      <c r="B160" s="42">
        <v>0</v>
      </c>
      <c r="C160" t="str">
        <f>[2]!DEC2HEX(A160)</f>
        <v>35C</v>
      </c>
      <c r="D160" s="76"/>
      <c r="E160" s="76"/>
      <c r="F160" s="76"/>
      <c r="G160" s="76"/>
      <c r="H160" s="76"/>
      <c r="I160" s="76"/>
    </row>
    <row r="161" spans="1:9" ht="15">
      <c r="A161" s="127">
        <v>870</v>
      </c>
      <c r="B161" s="42">
        <v>0</v>
      </c>
      <c r="C161" t="str">
        <f>[2]!DEC2HEX(A161)</f>
        <v>366</v>
      </c>
      <c r="D161" s="76"/>
      <c r="E161" s="76"/>
      <c r="F161" s="76"/>
      <c r="G161" s="76"/>
      <c r="H161" s="76"/>
      <c r="I161" s="76"/>
    </row>
    <row r="162" spans="1:9" ht="15">
      <c r="A162" s="127">
        <v>880</v>
      </c>
      <c r="B162" s="42">
        <v>0</v>
      </c>
      <c r="C162" t="str">
        <f>[2]!DEC2HEX(A162)</f>
        <v>370</v>
      </c>
      <c r="D162" s="76"/>
      <c r="E162" s="76"/>
      <c r="F162" s="76"/>
      <c r="G162" s="76"/>
      <c r="H162" s="76"/>
      <c r="I162" s="76"/>
    </row>
    <row r="163" spans="1:9" ht="15">
      <c r="A163" s="127">
        <v>890</v>
      </c>
      <c r="B163" s="42">
        <v>0</v>
      </c>
      <c r="C163" t="str">
        <f>[2]!DEC2HEX(A163)</f>
        <v>37A</v>
      </c>
      <c r="D163" s="76"/>
      <c r="E163" s="76"/>
      <c r="F163" s="76"/>
      <c r="G163" s="76"/>
      <c r="H163" s="76"/>
      <c r="I163" s="76"/>
    </row>
    <row r="164" spans="1:9" ht="15">
      <c r="A164" s="127">
        <v>900</v>
      </c>
      <c r="B164" s="42">
        <v>0</v>
      </c>
      <c r="C164" t="str">
        <f>[2]!DEC2HEX(A164)</f>
        <v>384</v>
      </c>
      <c r="D164" s="76"/>
      <c r="E164" s="76"/>
      <c r="F164" s="76"/>
      <c r="G164" s="76"/>
      <c r="H164" s="76"/>
      <c r="I164" s="76"/>
    </row>
    <row r="165" spans="1:9" ht="15">
      <c r="A165" s="127">
        <v>910</v>
      </c>
      <c r="B165" s="42">
        <v>0</v>
      </c>
      <c r="C165" t="str">
        <f>[2]!DEC2HEX(A165)</f>
        <v>38E</v>
      </c>
      <c r="D165" s="76"/>
      <c r="E165" s="76"/>
      <c r="F165" s="76"/>
      <c r="G165" s="76"/>
      <c r="H165" s="76"/>
      <c r="I165" s="76"/>
    </row>
    <row r="166" spans="1:9" ht="15.75" thickBot="1">
      <c r="A166" s="43" t="s">
        <v>512</v>
      </c>
      <c r="B166" s="43">
        <v>0</v>
      </c>
      <c r="C166" t="e">
        <f>[2]!DEC2HEX(A166)</f>
        <v>#VALUE!</v>
      </c>
      <c r="D166" s="76"/>
      <c r="E166" s="76"/>
      <c r="F166" s="76"/>
      <c r="G166" s="76"/>
      <c r="H166" s="76"/>
      <c r="I166" s="76"/>
    </row>
    <row r="167" spans="1:9" ht="15">
      <c r="A167" s="73"/>
      <c r="B167" s="74"/>
      <c r="C167" s="76"/>
      <c r="D167" s="76"/>
      <c r="E167" s="76"/>
      <c r="F167" s="76"/>
      <c r="G167" s="76"/>
      <c r="H167" s="76"/>
      <c r="I167" s="76"/>
    </row>
    <row r="168" spans="1:9" ht="15">
      <c r="A168" s="73"/>
      <c r="B168" s="74"/>
      <c r="C168" s="76"/>
      <c r="D168" s="76"/>
      <c r="E168" s="76"/>
      <c r="F168" s="76"/>
      <c r="G168" s="76"/>
      <c r="H168" s="76"/>
      <c r="I168" s="76"/>
    </row>
    <row r="169" spans="1:9" ht="15">
      <c r="A169" s="73"/>
      <c r="B169" s="74"/>
      <c r="C169" s="76"/>
      <c r="D169" s="76"/>
      <c r="E169" s="76"/>
      <c r="F169" s="76"/>
      <c r="G169" s="76"/>
      <c r="H169" s="76"/>
      <c r="I169" s="76"/>
    </row>
    <row r="170" spans="1:9" ht="15">
      <c r="A170" s="73"/>
      <c r="B170" s="74"/>
      <c r="C170" s="76"/>
      <c r="D170" s="76"/>
      <c r="E170" s="76"/>
      <c r="F170" s="76"/>
      <c r="G170" s="76"/>
      <c r="H170" s="76"/>
      <c r="I170" s="76"/>
    </row>
    <row r="171" spans="1:9" ht="15">
      <c r="A171" s="73"/>
      <c r="B171" s="74"/>
      <c r="C171" s="76"/>
      <c r="D171" s="76"/>
      <c r="E171" s="76"/>
      <c r="F171" s="76"/>
      <c r="G171" s="76"/>
      <c r="H171" s="76"/>
      <c r="I171" s="76"/>
    </row>
    <row r="172" spans="1:9" ht="15">
      <c r="A172" s="73"/>
      <c r="B172" s="74"/>
      <c r="C172" s="76"/>
      <c r="D172" s="76"/>
      <c r="E172" s="76"/>
      <c r="F172" s="76"/>
      <c r="G172" s="76"/>
      <c r="H172" s="76"/>
      <c r="I172" s="76"/>
    </row>
    <row r="173" spans="1:9" ht="15">
      <c r="A173" s="73"/>
      <c r="B173" s="74"/>
      <c r="C173" s="76"/>
      <c r="D173" s="76"/>
      <c r="E173" s="76"/>
      <c r="F173" s="76"/>
      <c r="G173" s="76"/>
      <c r="H173" s="76"/>
      <c r="I173" s="76"/>
    </row>
    <row r="174" spans="1:9" ht="15">
      <c r="A174" s="73"/>
      <c r="B174" s="74"/>
      <c r="C174" s="76"/>
      <c r="D174" s="76"/>
      <c r="E174" s="76"/>
      <c r="F174" s="76"/>
      <c r="G174" s="76"/>
      <c r="H174" s="76"/>
      <c r="I174" s="76"/>
    </row>
    <row r="175" spans="1:9" ht="15">
      <c r="A175" s="73"/>
      <c r="B175" s="74"/>
      <c r="C175" s="76"/>
      <c r="D175" s="76"/>
      <c r="E175" s="76"/>
      <c r="F175" s="76"/>
      <c r="G175" s="76"/>
      <c r="H175" s="76"/>
      <c r="I175" s="76"/>
    </row>
    <row r="176" spans="1:9" ht="15">
      <c r="A176" s="73"/>
      <c r="B176" s="74"/>
      <c r="C176" s="76"/>
      <c r="D176" s="76"/>
      <c r="E176" s="76"/>
      <c r="F176" s="76"/>
      <c r="G176" s="76"/>
      <c r="H176" s="76"/>
      <c r="I176" s="76"/>
    </row>
    <row r="177" spans="1:9" ht="15">
      <c r="A177" s="73"/>
      <c r="B177" s="74"/>
      <c r="C177" s="76"/>
      <c r="D177" s="76"/>
      <c r="E177" s="76"/>
      <c r="F177" s="76"/>
      <c r="G177" s="76"/>
      <c r="H177" s="76"/>
      <c r="I177" s="76"/>
    </row>
    <row r="178" spans="1:9" ht="15">
      <c r="A178" s="73"/>
      <c r="B178" s="74"/>
      <c r="C178" s="76"/>
      <c r="D178" s="76"/>
      <c r="E178" s="76"/>
      <c r="F178" s="76"/>
      <c r="G178" s="76"/>
      <c r="H178" s="76"/>
      <c r="I178" s="76"/>
    </row>
    <row r="179" spans="1:9" ht="15">
      <c r="A179" s="73"/>
      <c r="B179" s="74"/>
      <c r="C179" s="76"/>
      <c r="D179" s="76"/>
      <c r="E179" s="76"/>
      <c r="F179" s="76"/>
      <c r="G179" s="76"/>
      <c r="H179" s="76"/>
      <c r="I179" s="76"/>
    </row>
    <row r="180" spans="1:9" ht="15">
      <c r="A180" s="73"/>
      <c r="B180" s="74"/>
      <c r="C180" s="76"/>
      <c r="D180" s="76"/>
      <c r="E180" s="76"/>
      <c r="F180" s="76"/>
      <c r="G180" s="76"/>
      <c r="H180" s="76"/>
      <c r="I180" s="76"/>
    </row>
    <row r="181" spans="1:9" ht="15">
      <c r="A181" s="73"/>
      <c r="B181" s="74"/>
      <c r="C181" s="76"/>
      <c r="D181" s="76"/>
      <c r="E181" s="76"/>
      <c r="F181" s="76"/>
      <c r="G181" s="76"/>
      <c r="H181" s="76"/>
      <c r="I181" s="76"/>
    </row>
    <row r="182" spans="1:9" ht="15">
      <c r="A182" s="73"/>
      <c r="B182" s="74"/>
      <c r="C182" s="76"/>
      <c r="D182" s="76"/>
      <c r="E182" s="76"/>
      <c r="F182" s="76"/>
      <c r="G182" s="76"/>
      <c r="H182" s="76"/>
      <c r="I182" s="76"/>
    </row>
    <row r="183" spans="1:9" ht="15">
      <c r="A183" s="73"/>
      <c r="B183" s="74"/>
      <c r="C183" s="76"/>
      <c r="D183" s="76"/>
      <c r="E183" s="76"/>
      <c r="F183" s="76"/>
      <c r="G183" s="76"/>
      <c r="H183" s="76"/>
      <c r="I183" s="76"/>
    </row>
    <row r="184" spans="1:9" ht="15">
      <c r="A184" s="73"/>
      <c r="B184" s="74"/>
      <c r="C184" s="76"/>
      <c r="D184" s="76"/>
      <c r="E184" s="76"/>
      <c r="F184" s="76"/>
      <c r="G184" s="76"/>
      <c r="H184" s="76"/>
      <c r="I184" s="76"/>
    </row>
    <row r="185" spans="1:9" ht="15">
      <c r="A185" s="73"/>
      <c r="B185" s="74"/>
      <c r="C185" s="76"/>
      <c r="D185" s="76"/>
      <c r="E185" s="76"/>
      <c r="F185" s="76"/>
      <c r="G185" s="76"/>
      <c r="H185" s="76"/>
      <c r="I185" s="76"/>
    </row>
    <row r="186" spans="1:9" ht="15">
      <c r="A186" s="73"/>
      <c r="B186" s="74"/>
      <c r="C186" s="76"/>
      <c r="D186" s="76"/>
      <c r="E186" s="76"/>
      <c r="F186" s="76"/>
      <c r="G186" s="76"/>
      <c r="H186" s="76"/>
      <c r="I186" s="76"/>
    </row>
    <row r="187" spans="1:9" ht="15">
      <c r="A187" s="73"/>
      <c r="B187" s="74"/>
      <c r="C187" s="76"/>
      <c r="D187" s="76"/>
      <c r="E187" s="76"/>
      <c r="F187" s="76"/>
      <c r="G187" s="76"/>
      <c r="H187" s="76"/>
      <c r="I187" s="76"/>
    </row>
    <row r="188" spans="1:9" ht="15">
      <c r="A188" s="73"/>
      <c r="B188" s="74"/>
      <c r="C188" s="76"/>
      <c r="D188" s="76"/>
      <c r="E188" s="76"/>
      <c r="F188" s="76"/>
      <c r="G188" s="76"/>
      <c r="H188" s="76"/>
      <c r="I188" s="76"/>
    </row>
    <row r="189" spans="1:9" ht="15">
      <c r="A189" s="73"/>
      <c r="B189" s="74"/>
      <c r="C189" s="76"/>
      <c r="D189" s="76"/>
      <c r="E189" s="76"/>
      <c r="F189" s="76"/>
      <c r="G189" s="76"/>
      <c r="H189" s="76"/>
      <c r="I189" s="76"/>
    </row>
    <row r="190" spans="1:9" ht="15">
      <c r="A190" s="73"/>
      <c r="B190" s="74"/>
      <c r="C190" s="76"/>
      <c r="D190" s="76"/>
      <c r="E190" s="76"/>
      <c r="F190" s="76"/>
      <c r="G190" s="76"/>
      <c r="H190" s="76"/>
      <c r="I190" s="76"/>
    </row>
    <row r="191" spans="1:9" ht="15">
      <c r="A191" s="73"/>
      <c r="B191" s="74"/>
      <c r="C191" s="76"/>
      <c r="D191" s="76"/>
      <c r="E191" s="76"/>
      <c r="F191" s="76"/>
      <c r="G191" s="76"/>
      <c r="H191" s="76"/>
      <c r="I191" s="76"/>
    </row>
    <row r="192" spans="1:9" ht="15">
      <c r="A192" s="73"/>
      <c r="B192" s="74"/>
      <c r="C192" s="76"/>
      <c r="D192" s="76"/>
      <c r="E192" s="76"/>
      <c r="F192" s="76"/>
      <c r="G192" s="76"/>
      <c r="H192" s="76"/>
      <c r="I192" s="76"/>
    </row>
    <row r="193" spans="1:9" ht="15">
      <c r="A193" s="73"/>
      <c r="B193" s="74"/>
      <c r="C193" s="76"/>
      <c r="D193" s="76"/>
      <c r="E193" s="76"/>
      <c r="F193" s="76"/>
      <c r="G193" s="76"/>
      <c r="H193" s="76"/>
      <c r="I193" s="76"/>
    </row>
    <row r="194" spans="1:9" ht="15">
      <c r="A194" s="76"/>
      <c r="B194" s="76"/>
      <c r="C194" s="76"/>
      <c r="D194" s="76"/>
      <c r="E194" s="76"/>
      <c r="F194" s="76"/>
      <c r="G194" s="76"/>
      <c r="H194" s="76"/>
      <c r="I194" s="76"/>
    </row>
    <row r="195" spans="1:9" ht="15">
      <c r="A195" s="76"/>
      <c r="B195" s="76"/>
      <c r="C195" s="76"/>
      <c r="D195" s="76"/>
      <c r="E195" s="76"/>
      <c r="F195" s="76"/>
      <c r="G195" s="76"/>
      <c r="H195" s="76"/>
      <c r="I195" s="76"/>
    </row>
    <row r="196" spans="1:9" ht="15">
      <c r="A196" s="76"/>
      <c r="B196" s="76"/>
      <c r="C196" s="76"/>
      <c r="D196" s="76"/>
      <c r="E196" s="76"/>
      <c r="F196" s="76"/>
      <c r="G196" s="76"/>
      <c r="H196" s="76"/>
      <c r="I196" s="76"/>
    </row>
    <row r="197" spans="1:9" ht="15">
      <c r="A197" s="76"/>
      <c r="B197" s="76"/>
      <c r="C197" s="76"/>
      <c r="D197" s="76"/>
      <c r="E197" s="76"/>
      <c r="F197" s="76"/>
      <c r="G197" s="76"/>
      <c r="H197" s="76"/>
      <c r="I197" s="76"/>
    </row>
    <row r="198" spans="1:9" ht="15">
      <c r="A198" s="76"/>
      <c r="B198" s="76"/>
      <c r="C198" s="76"/>
      <c r="D198" s="76"/>
      <c r="E198" s="76"/>
      <c r="F198" s="76"/>
      <c r="G198" s="76"/>
      <c r="H198" s="76"/>
      <c r="I198" s="76"/>
    </row>
    <row r="199" spans="1:9" ht="15">
      <c r="A199" s="76"/>
      <c r="B199" s="76"/>
      <c r="C199" s="76"/>
      <c r="D199" s="76"/>
      <c r="E199" s="76"/>
      <c r="F199" s="76"/>
      <c r="G199" s="76"/>
      <c r="H199" s="76"/>
      <c r="I199" s="76"/>
    </row>
    <row r="200" spans="1:9" ht="15">
      <c r="A200" s="76"/>
      <c r="B200" s="76"/>
      <c r="C200" s="76"/>
      <c r="D200" s="76"/>
      <c r="E200" s="76"/>
      <c r="F200" s="76"/>
      <c r="G200" s="76"/>
      <c r="H200" s="76"/>
      <c r="I200" s="76"/>
    </row>
  </sheetData>
  <mergeCells count="4">
    <mergeCell ref="A1:E1"/>
    <mergeCell ref="I42:T44"/>
    <mergeCell ref="A98:E98"/>
    <mergeCell ref="I46:S4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2"/>
  <sheetViews>
    <sheetView workbookViewId="0" topLeftCell="F1">
      <selection activeCell="H140" sqref="H140"/>
    </sheetView>
  </sheetViews>
  <sheetFormatPr defaultColWidth="9.140625" defaultRowHeight="12.75"/>
  <cols>
    <col min="1" max="1" width="7.7109375" style="45" customWidth="1"/>
    <col min="2" max="2" width="13.421875" style="44" customWidth="1"/>
    <col min="3" max="3" width="12.28125" style="45" customWidth="1"/>
    <col min="4" max="4" width="9.28125" style="53" customWidth="1"/>
    <col min="5" max="5" width="11.57421875" style="53" customWidth="1"/>
    <col min="6" max="6" width="11.8515625" style="53" customWidth="1"/>
    <col min="7" max="7" width="9.7109375" style="53" customWidth="1"/>
    <col min="8" max="8" width="10.421875" style="53" customWidth="1"/>
    <col min="9" max="9" width="12.421875" style="53" customWidth="1"/>
    <col min="10" max="10" width="9.57421875" style="51" bestFit="1" customWidth="1"/>
    <col min="11" max="11" width="6.140625" style="53" customWidth="1"/>
    <col min="12" max="16384" width="9.140625" style="45" customWidth="1"/>
  </cols>
  <sheetData>
    <row r="1" spans="1:12" s="46" customFormat="1" ht="21" customHeight="1">
      <c r="A1" s="158" t="s">
        <v>52</v>
      </c>
      <c r="B1" s="158"/>
      <c r="C1" s="158"/>
      <c r="D1" s="153" t="s">
        <v>467</v>
      </c>
      <c r="E1" s="153" t="s">
        <v>468</v>
      </c>
      <c r="F1" s="154" t="s">
        <v>469</v>
      </c>
      <c r="G1" s="153" t="s">
        <v>470</v>
      </c>
      <c r="H1" s="153" t="s">
        <v>471</v>
      </c>
      <c r="I1" s="154" t="s">
        <v>472</v>
      </c>
      <c r="J1" s="155" t="s">
        <v>473</v>
      </c>
      <c r="K1" s="153" t="s">
        <v>474</v>
      </c>
      <c r="L1" s="151" t="s">
        <v>475</v>
      </c>
    </row>
    <row r="2" spans="1:12" s="46" customFormat="1" ht="30.75" customHeight="1">
      <c r="A2" s="46" t="s">
        <v>63</v>
      </c>
      <c r="B2" s="47" t="s">
        <v>60</v>
      </c>
      <c r="C2" s="47" t="s">
        <v>59</v>
      </c>
      <c r="D2" s="153"/>
      <c r="E2" s="153"/>
      <c r="F2" s="154"/>
      <c r="G2" s="153"/>
      <c r="H2" s="153"/>
      <c r="I2" s="154"/>
      <c r="J2" s="155"/>
      <c r="K2" s="153"/>
      <c r="L2" s="152"/>
    </row>
    <row r="3" spans="1:12" ht="15">
      <c r="A3" s="156">
        <v>0</v>
      </c>
      <c r="B3" s="157" t="s">
        <v>62</v>
      </c>
      <c r="C3" s="45" t="s">
        <v>64</v>
      </c>
      <c r="D3" s="48" t="s">
        <v>17</v>
      </c>
      <c r="E3" s="49">
        <f aca="true" t="shared" si="0" ref="E3:E66">(3500/(LN(F3/4700)+11.745))-273</f>
        <v>20.65183744340152</v>
      </c>
      <c r="F3" s="50">
        <f>(1.3808*[2]!HEX2DEC(D3)+513)/0.2453</f>
        <v>5592.570729718712</v>
      </c>
      <c r="G3" s="48">
        <v>267</v>
      </c>
      <c r="H3" s="49">
        <v>28</v>
      </c>
      <c r="I3" s="50">
        <f>(1.379*[2]!HEX2DEC(G3)+513)/0.2451</f>
        <v>5553.182374541004</v>
      </c>
      <c r="J3" s="51">
        <v>0.2451</v>
      </c>
      <c r="K3" s="49">
        <f aca="true" t="shared" si="1" ref="K3:K11">(I3-5000)/19.25</f>
        <v>28.736746729402796</v>
      </c>
      <c r="L3" s="52">
        <f>H3-K3</f>
        <v>-0.7367467294027961</v>
      </c>
    </row>
    <row r="4" spans="1:12" ht="15">
      <c r="A4" s="156"/>
      <c r="B4" s="157"/>
      <c r="C4" s="45" t="s">
        <v>65</v>
      </c>
      <c r="D4" s="54" t="s">
        <v>14</v>
      </c>
      <c r="E4" s="49">
        <f t="shared" si="0"/>
        <v>19.447084333665032</v>
      </c>
      <c r="F4" s="50">
        <f>(1.3808*[2]!HEX2DEC(D4)+513)/0.2453</f>
        <v>5874.022013860579</v>
      </c>
      <c r="G4" s="53" t="s">
        <v>20</v>
      </c>
      <c r="H4" s="49">
        <v>26.5</v>
      </c>
      <c r="I4" s="50">
        <f>(1.379*[2]!HEX2DEC(G4)+513)/0.2451</f>
        <v>5491.293349653203</v>
      </c>
      <c r="K4" s="49">
        <f t="shared" si="1"/>
        <v>25.52173244951705</v>
      </c>
      <c r="L4" s="52">
        <f aca="true" t="shared" si="2" ref="L4:L67">H4-K4</f>
        <v>0.9782675504829506</v>
      </c>
    </row>
    <row r="5" spans="1:12" ht="15">
      <c r="A5" s="156"/>
      <c r="B5" s="157"/>
      <c r="C5" s="45" t="s">
        <v>66</v>
      </c>
      <c r="D5" s="54">
        <v>298</v>
      </c>
      <c r="E5" s="49">
        <f t="shared" si="0"/>
        <v>19.635260067257605</v>
      </c>
      <c r="F5" s="50">
        <f>(1.3808*[2]!HEX2DEC(D5)+513)/0.2453</f>
        <v>5828.989808397881</v>
      </c>
      <c r="G5" s="53">
        <v>253</v>
      </c>
      <c r="H5" s="49">
        <v>25.5</v>
      </c>
      <c r="I5" s="50">
        <f>(1.379*[2]!HEX2DEC(G5)+513)/0.2451</f>
        <v>5440.656874745002</v>
      </c>
      <c r="K5" s="49">
        <f t="shared" si="1"/>
        <v>22.89126622051958</v>
      </c>
      <c r="L5" s="52">
        <f t="shared" si="2"/>
        <v>2.6087337794804206</v>
      </c>
    </row>
    <row r="6" spans="1:12" ht="15">
      <c r="A6" s="156"/>
      <c r="B6" s="157"/>
      <c r="C6" s="45" t="s">
        <v>67</v>
      </c>
      <c r="D6" s="54">
        <v>285</v>
      </c>
      <c r="E6" s="49">
        <f t="shared" si="0"/>
        <v>20.089062497790394</v>
      </c>
      <c r="F6" s="50">
        <f>(1.3808*[2]!HEX2DEC(D6)+513)/0.2453</f>
        <v>5722.038320423971</v>
      </c>
      <c r="G6" s="53">
        <v>268</v>
      </c>
      <c r="H6" s="49">
        <v>26</v>
      </c>
      <c r="I6" s="50">
        <f>(1.379*[2]!HEX2DEC(G6)+513)/0.2451</f>
        <v>5558.808649530803</v>
      </c>
      <c r="K6" s="49">
        <f t="shared" si="1"/>
        <v>29.029020754846933</v>
      </c>
      <c r="L6" s="52">
        <f t="shared" si="2"/>
        <v>-3.0290207548469326</v>
      </c>
    </row>
    <row r="7" spans="1:12" ht="15">
      <c r="A7" s="156"/>
      <c r="B7" s="157"/>
      <c r="C7" s="45" t="s">
        <v>68</v>
      </c>
      <c r="D7" s="54" t="s">
        <v>18</v>
      </c>
      <c r="E7" s="49">
        <f t="shared" si="0"/>
        <v>20.234429259069316</v>
      </c>
      <c r="F7" s="50">
        <f>(1.3808*[2]!HEX2DEC(D7)+513)/0.2453</f>
        <v>5688.264166326947</v>
      </c>
      <c r="G7" s="53">
        <v>267</v>
      </c>
      <c r="H7" s="49">
        <v>28</v>
      </c>
      <c r="I7" s="50">
        <f>(1.379*[2]!HEX2DEC(G7)+513)/0.2451</f>
        <v>5553.182374541004</v>
      </c>
      <c r="K7" s="49">
        <f t="shared" si="1"/>
        <v>28.736746729402796</v>
      </c>
      <c r="L7" s="52">
        <f t="shared" si="2"/>
        <v>-0.7367467294027961</v>
      </c>
    </row>
    <row r="8" spans="1:12" ht="15">
      <c r="A8" s="156"/>
      <c r="B8" s="157"/>
      <c r="C8" s="45" t="s">
        <v>69</v>
      </c>
      <c r="D8" s="54" t="s">
        <v>19</v>
      </c>
      <c r="E8" s="49">
        <f t="shared" si="0"/>
        <v>19.896790838776155</v>
      </c>
      <c r="F8" s="50">
        <f>(1.3808*[2]!HEX2DEC(D8)+513)/0.2453</f>
        <v>5767.07052588667</v>
      </c>
      <c r="G8" s="53">
        <v>265</v>
      </c>
      <c r="H8" s="49">
        <v>26.5</v>
      </c>
      <c r="I8" s="50">
        <f>(1.379*[2]!HEX2DEC(G8)+513)/0.2451</f>
        <v>5541.929824561404</v>
      </c>
      <c r="K8" s="49">
        <f t="shared" si="1"/>
        <v>28.152198678514473</v>
      </c>
      <c r="L8" s="52">
        <f t="shared" si="2"/>
        <v>-1.6521986785144733</v>
      </c>
    </row>
    <row r="9" spans="1:12" s="55" customFormat="1" ht="15">
      <c r="A9" s="156"/>
      <c r="B9" s="158" t="s">
        <v>61</v>
      </c>
      <c r="C9" s="55" t="s">
        <v>64</v>
      </c>
      <c r="D9" s="56" t="s">
        <v>11</v>
      </c>
      <c r="E9" s="57">
        <f t="shared" si="0"/>
        <v>18.756130611387164</v>
      </c>
      <c r="F9" s="50">
        <f>(1.3808*[2]!HEX2DEC(D9)+513)/0.2453</f>
        <v>6042.8927843456995</v>
      </c>
      <c r="G9" s="58">
        <v>268</v>
      </c>
      <c r="H9" s="57">
        <v>27</v>
      </c>
      <c r="I9" s="50">
        <f>(1.379*[2]!HEX2DEC(G9)+513)/0.2451</f>
        <v>5558.808649530803</v>
      </c>
      <c r="J9" s="51"/>
      <c r="K9" s="57">
        <f t="shared" si="1"/>
        <v>29.029020754846933</v>
      </c>
      <c r="L9" s="52">
        <f t="shared" si="2"/>
        <v>-2.0290207548469326</v>
      </c>
    </row>
    <row r="10" spans="1:12" s="55" customFormat="1" ht="15">
      <c r="A10" s="156"/>
      <c r="B10" s="158"/>
      <c r="C10" s="55" t="s">
        <v>65</v>
      </c>
      <c r="D10" s="56" t="s">
        <v>12</v>
      </c>
      <c r="E10" s="57">
        <f t="shared" si="0"/>
        <v>18.530805395859375</v>
      </c>
      <c r="F10" s="50">
        <f>(1.3808*[2]!HEX2DEC(D10)+513)/0.2453</f>
        <v>6099.183041174073</v>
      </c>
      <c r="G10" s="58">
        <v>262</v>
      </c>
      <c r="H10" s="57">
        <v>28</v>
      </c>
      <c r="I10" s="50">
        <f>(1.379*[2]!HEX2DEC(G10)+513)/0.2451</f>
        <v>5525.050999592003</v>
      </c>
      <c r="J10" s="51"/>
      <c r="K10" s="57">
        <f t="shared" si="1"/>
        <v>27.275376602181968</v>
      </c>
      <c r="L10" s="52">
        <f t="shared" si="2"/>
        <v>0.7246233978180321</v>
      </c>
    </row>
    <row r="11" spans="1:12" s="55" customFormat="1" ht="12.75" customHeight="1">
      <c r="A11" s="156"/>
      <c r="B11" s="158"/>
      <c r="C11" s="55" t="s">
        <v>66</v>
      </c>
      <c r="D11" s="56" t="s">
        <v>13</v>
      </c>
      <c r="E11" s="57">
        <f t="shared" si="0"/>
        <v>19.14486149585406</v>
      </c>
      <c r="F11" s="50">
        <f>(1.3808*[2]!HEX2DEC(D11)+513)/0.2453</f>
        <v>5947.199347737464</v>
      </c>
      <c r="G11" s="58">
        <v>264</v>
      </c>
      <c r="H11" s="57">
        <v>27</v>
      </c>
      <c r="I11" s="50">
        <f>(1.379*[2]!HEX2DEC(G11)+513)/0.2451</f>
        <v>5536.303549571602</v>
      </c>
      <c r="J11" s="51"/>
      <c r="K11" s="57">
        <f t="shared" si="1"/>
        <v>27.85992465307024</v>
      </c>
      <c r="L11" s="52">
        <f t="shared" si="2"/>
        <v>-0.8599246530702409</v>
      </c>
    </row>
    <row r="12" spans="1:12" s="59" customFormat="1" ht="15">
      <c r="A12" s="156"/>
      <c r="B12" s="158"/>
      <c r="C12" s="59" t="s">
        <v>67</v>
      </c>
      <c r="D12" s="60"/>
      <c r="E12" s="61"/>
      <c r="F12" s="50"/>
      <c r="G12" s="62"/>
      <c r="H12" s="61"/>
      <c r="I12" s="50">
        <f>(1.379*[2]!HEX2DEC(G12)+513)/0.2451</f>
        <v>2093.0232558139533</v>
      </c>
      <c r="J12" s="51"/>
      <c r="K12" s="61"/>
      <c r="L12" s="52">
        <f t="shared" si="2"/>
        <v>0</v>
      </c>
    </row>
    <row r="13" spans="1:12" s="55" customFormat="1" ht="12.75" customHeight="1">
      <c r="A13" s="156"/>
      <c r="B13" s="158"/>
      <c r="C13" s="55" t="s">
        <v>68</v>
      </c>
      <c r="D13" s="56" t="s">
        <v>14</v>
      </c>
      <c r="E13" s="57">
        <f t="shared" si="0"/>
        <v>19.447084333665032</v>
      </c>
      <c r="F13" s="50">
        <f>(1.3808*[2]!HEX2DEC(D13)+513)/0.2453</f>
        <v>5874.022013860579</v>
      </c>
      <c r="G13" s="58" t="s">
        <v>16</v>
      </c>
      <c r="H13" s="63">
        <v>31</v>
      </c>
      <c r="I13" s="50">
        <f>(1.379*[2]!HEX2DEC(G13)+513)/0.2451</f>
        <v>5575.687474500204</v>
      </c>
      <c r="J13" s="51"/>
      <c r="K13" s="57">
        <f aca="true" t="shared" si="3" ref="K13:K45">(I13-5000)/19.25</f>
        <v>29.905842831179438</v>
      </c>
      <c r="L13" s="52">
        <f t="shared" si="2"/>
        <v>1.094157168820562</v>
      </c>
    </row>
    <row r="14" spans="1:12" ht="15">
      <c r="A14" s="156"/>
      <c r="B14" s="158"/>
      <c r="C14" s="45" t="s">
        <v>69</v>
      </c>
      <c r="D14" s="54" t="s">
        <v>15</v>
      </c>
      <c r="E14" s="49">
        <f t="shared" si="0"/>
        <v>19.167954962606927</v>
      </c>
      <c r="F14" s="50">
        <f>(1.3808*[2]!HEX2DEC(D14)+513)/0.2453</f>
        <v>5941.5703220546275</v>
      </c>
      <c r="G14" s="53">
        <v>267</v>
      </c>
      <c r="H14" s="49">
        <v>28</v>
      </c>
      <c r="I14" s="50">
        <f>(1.379*[2]!HEX2DEC(G14)+513)/0.2451</f>
        <v>5553.182374541004</v>
      </c>
      <c r="K14" s="49">
        <f t="shared" si="3"/>
        <v>28.736746729402796</v>
      </c>
      <c r="L14" s="52">
        <f t="shared" si="2"/>
        <v>-0.7367467294027961</v>
      </c>
    </row>
    <row r="15" spans="1:12" s="55" customFormat="1" ht="15">
      <c r="A15" s="156">
        <v>1</v>
      </c>
      <c r="B15" s="157" t="s">
        <v>62</v>
      </c>
      <c r="C15" s="55" t="s">
        <v>64</v>
      </c>
      <c r="D15" s="58">
        <v>269</v>
      </c>
      <c r="E15" s="57">
        <f t="shared" si="0"/>
        <v>20.776193842870555</v>
      </c>
      <c r="F15" s="50">
        <f>(1.3808*[2]!HEX2DEC(D15)+513)/0.2453</f>
        <v>5564.425601304525</v>
      </c>
      <c r="G15" s="58">
        <v>267</v>
      </c>
      <c r="H15" s="57">
        <v>28</v>
      </c>
      <c r="I15" s="50">
        <f>(1.379*[2]!HEX2DEC(G15)+513)/0.2451</f>
        <v>5553.182374541004</v>
      </c>
      <c r="J15" s="51"/>
      <c r="K15" s="57">
        <f t="shared" si="3"/>
        <v>28.736746729402796</v>
      </c>
      <c r="L15" s="52">
        <f t="shared" si="2"/>
        <v>-0.7367467294027961</v>
      </c>
    </row>
    <row r="16" spans="1:12" s="55" customFormat="1" ht="15">
      <c r="A16" s="156"/>
      <c r="B16" s="157"/>
      <c r="C16" s="55" t="s">
        <v>65</v>
      </c>
      <c r="D16" s="58">
        <v>290</v>
      </c>
      <c r="E16" s="57">
        <f t="shared" si="0"/>
        <v>19.825140363158084</v>
      </c>
      <c r="F16" s="50">
        <f>(1.3808*[2]!HEX2DEC(D16)+513)/0.2453</f>
        <v>5783.957602935181</v>
      </c>
      <c r="G16" s="58">
        <v>258</v>
      </c>
      <c r="H16" s="57">
        <v>26</v>
      </c>
      <c r="I16" s="50">
        <f>(1.379*[2]!HEX2DEC(G16)+513)/0.2451</f>
        <v>5468.788249694003</v>
      </c>
      <c r="J16" s="51"/>
      <c r="K16" s="57">
        <f t="shared" si="3"/>
        <v>24.352636347740408</v>
      </c>
      <c r="L16" s="52">
        <f t="shared" si="2"/>
        <v>1.6473636522595925</v>
      </c>
    </row>
    <row r="17" spans="1:12" ht="15">
      <c r="A17" s="156"/>
      <c r="B17" s="157"/>
      <c r="C17" s="45" t="s">
        <v>66</v>
      </c>
      <c r="D17" s="53" t="s">
        <v>71</v>
      </c>
      <c r="E17" s="49">
        <f t="shared" si="0"/>
        <v>19.49397002652455</v>
      </c>
      <c r="F17" s="50">
        <f>(1.3808*[2]!HEX2DEC(D17)+513)/0.2453</f>
        <v>5862.763962494904</v>
      </c>
      <c r="G17" s="53">
        <v>252</v>
      </c>
      <c r="H17" s="49">
        <v>27</v>
      </c>
      <c r="I17" s="50">
        <f>(1.379*[2]!HEX2DEC(G17)+513)/0.2451</f>
        <v>5435.030599755201</v>
      </c>
      <c r="K17" s="49">
        <f t="shared" si="3"/>
        <v>22.598992195075397</v>
      </c>
      <c r="L17" s="52">
        <f t="shared" si="2"/>
        <v>4.401007804924603</v>
      </c>
    </row>
    <row r="18" spans="1:12" s="55" customFormat="1" ht="15">
      <c r="A18" s="156"/>
      <c r="B18" s="157"/>
      <c r="C18" s="55" t="s">
        <v>67</v>
      </c>
      <c r="D18" s="58" t="s">
        <v>72</v>
      </c>
      <c r="E18" s="57">
        <f t="shared" si="0"/>
        <v>19.19107397487869</v>
      </c>
      <c r="F18" s="50">
        <f>(1.3808*[2]!HEX2DEC(D18)+513)/0.2453</f>
        <v>5935.9412963717905</v>
      </c>
      <c r="G18" s="58">
        <v>262</v>
      </c>
      <c r="H18" s="57">
        <v>25</v>
      </c>
      <c r="I18" s="50">
        <f>(1.379*[2]!HEX2DEC(G18)+513)/0.2451</f>
        <v>5525.050999592003</v>
      </c>
      <c r="J18" s="51"/>
      <c r="K18" s="57">
        <f t="shared" si="3"/>
        <v>27.275376602181968</v>
      </c>
      <c r="L18" s="52">
        <f t="shared" si="2"/>
        <v>-2.275376602181968</v>
      </c>
    </row>
    <row r="19" spans="1:12" ht="15">
      <c r="A19" s="156"/>
      <c r="B19" s="157"/>
      <c r="C19" s="45" t="s">
        <v>68</v>
      </c>
      <c r="D19" s="53">
        <v>291</v>
      </c>
      <c r="E19" s="49">
        <f t="shared" si="0"/>
        <v>19.80131112174047</v>
      </c>
      <c r="F19" s="50">
        <f>(1.3808*[2]!HEX2DEC(D19)+513)/0.2453</f>
        <v>5789.586628618019</v>
      </c>
      <c r="G19" s="53">
        <v>265</v>
      </c>
      <c r="H19" s="49">
        <v>28</v>
      </c>
      <c r="I19" s="50">
        <f>(1.379*[2]!HEX2DEC(G19)+513)/0.2451</f>
        <v>5541.929824561404</v>
      </c>
      <c r="K19" s="49">
        <f t="shared" si="3"/>
        <v>28.152198678514473</v>
      </c>
      <c r="L19" s="52">
        <f t="shared" si="2"/>
        <v>-0.15219867851447333</v>
      </c>
    </row>
    <row r="20" spans="1:12" ht="15">
      <c r="A20" s="156"/>
      <c r="B20" s="157"/>
      <c r="C20" s="45" t="s">
        <v>69</v>
      </c>
      <c r="D20" s="53">
        <v>292</v>
      </c>
      <c r="E20" s="49">
        <f t="shared" si="0"/>
        <v>19.777508909800645</v>
      </c>
      <c r="F20" s="50">
        <f>(1.3808*[2]!HEX2DEC(D20)+513)/0.2453</f>
        <v>5795.215654300857</v>
      </c>
      <c r="G20" s="53">
        <v>264</v>
      </c>
      <c r="H20" s="49">
        <v>28</v>
      </c>
      <c r="I20" s="50">
        <f>(1.379*[2]!HEX2DEC(G20)+513)/0.2451</f>
        <v>5536.303549571602</v>
      </c>
      <c r="K20" s="49">
        <f t="shared" si="3"/>
        <v>27.85992465307024</v>
      </c>
      <c r="L20" s="52">
        <f t="shared" si="2"/>
        <v>0.1400753469297591</v>
      </c>
    </row>
    <row r="21" spans="1:12" ht="15">
      <c r="A21" s="156"/>
      <c r="B21" s="158" t="s">
        <v>61</v>
      </c>
      <c r="C21" s="45" t="s">
        <v>64</v>
      </c>
      <c r="D21" s="53" t="s">
        <v>70</v>
      </c>
      <c r="E21" s="49">
        <f t="shared" si="0"/>
        <v>18.419050696619706</v>
      </c>
      <c r="F21" s="50">
        <f>(1.3808*[2]!HEX2DEC(D21)+513)/0.2453</f>
        <v>6127.32816958826</v>
      </c>
      <c r="G21" s="53">
        <v>266</v>
      </c>
      <c r="H21" s="49">
        <v>28</v>
      </c>
      <c r="I21" s="50">
        <f>(1.379*[2]!HEX2DEC(G21)+513)/0.2451</f>
        <v>5547.556099551204</v>
      </c>
      <c r="K21" s="49">
        <f t="shared" si="3"/>
        <v>28.44447270395866</v>
      </c>
      <c r="L21" s="52">
        <f t="shared" si="2"/>
        <v>-0.44447270395865957</v>
      </c>
    </row>
    <row r="22" spans="1:12" ht="15">
      <c r="A22" s="156"/>
      <c r="B22" s="158"/>
      <c r="C22" s="45" t="s">
        <v>65</v>
      </c>
      <c r="D22" s="53" t="s">
        <v>11</v>
      </c>
      <c r="E22" s="49">
        <f t="shared" si="0"/>
        <v>18.756130611387164</v>
      </c>
      <c r="F22" s="50">
        <f>(1.3808*[2]!HEX2DEC(D22)+513)/0.2453</f>
        <v>6042.8927843456995</v>
      </c>
      <c r="G22" s="53">
        <v>264</v>
      </c>
      <c r="H22" s="49">
        <v>29</v>
      </c>
      <c r="I22" s="50">
        <f>(1.379*[2]!HEX2DEC(G22)+513)/0.2451</f>
        <v>5536.303549571602</v>
      </c>
      <c r="K22" s="49">
        <f t="shared" si="3"/>
        <v>27.85992465307024</v>
      </c>
      <c r="L22" s="52">
        <f t="shared" si="2"/>
        <v>1.140075346929759</v>
      </c>
    </row>
    <row r="23" spans="1:12" ht="15">
      <c r="A23" s="156"/>
      <c r="B23" s="158"/>
      <c r="C23" s="45" t="s">
        <v>66</v>
      </c>
      <c r="D23" s="53" t="s">
        <v>28</v>
      </c>
      <c r="E23" s="49">
        <f t="shared" si="0"/>
        <v>19.564495951578238</v>
      </c>
      <c r="F23" s="50">
        <f>(1.3808*[2]!HEX2DEC(D23)+513)/0.2453</f>
        <v>5845.876885446392</v>
      </c>
      <c r="G23" s="53" t="s">
        <v>27</v>
      </c>
      <c r="H23" s="49">
        <v>25</v>
      </c>
      <c r="I23" s="50">
        <f>(1.379*[2]!HEX2DEC(G23)+513)/0.2451</f>
        <v>5502.5458996328025</v>
      </c>
      <c r="K23" s="49">
        <f t="shared" si="3"/>
        <v>26.106280500405326</v>
      </c>
      <c r="L23" s="52">
        <f t="shared" si="2"/>
        <v>-1.106280500405326</v>
      </c>
    </row>
    <row r="24" spans="1:12" ht="15">
      <c r="A24" s="156"/>
      <c r="B24" s="158"/>
      <c r="C24" s="45" t="s">
        <v>67</v>
      </c>
      <c r="D24" s="53">
        <v>277</v>
      </c>
      <c r="E24" s="49">
        <f t="shared" si="0"/>
        <v>20.429826945833952</v>
      </c>
      <c r="F24" s="50">
        <f>(1.3808*[2]!HEX2DEC(D24)+513)/0.2453</f>
        <v>5643.231960864247</v>
      </c>
      <c r="G24" s="53" t="s">
        <v>4</v>
      </c>
      <c r="H24" s="49">
        <v>27</v>
      </c>
      <c r="I24" s="50">
        <f>(1.379*[2]!HEX2DEC(G24)+513)/0.2451</f>
        <v>5496.919624643003</v>
      </c>
      <c r="K24" s="49">
        <f t="shared" si="3"/>
        <v>25.814006474961186</v>
      </c>
      <c r="L24" s="52">
        <f t="shared" si="2"/>
        <v>1.185993525038814</v>
      </c>
    </row>
    <row r="25" spans="1:12" ht="15">
      <c r="A25" s="156"/>
      <c r="B25" s="158"/>
      <c r="C25" s="45" t="s">
        <v>68</v>
      </c>
      <c r="D25" s="53" t="s">
        <v>0</v>
      </c>
      <c r="E25" s="49">
        <f t="shared" si="0"/>
        <v>19.470514057727314</v>
      </c>
      <c r="F25" s="50">
        <f>(1.3808*[2]!HEX2DEC(D25)+513)/0.2453</f>
        <v>5868.392988177741</v>
      </c>
      <c r="G25" s="53">
        <v>259</v>
      </c>
      <c r="H25" s="49">
        <v>26</v>
      </c>
      <c r="I25" s="50">
        <f>(1.379*[2]!HEX2DEC(G25)+513)/0.2451</f>
        <v>5474.4145246838025</v>
      </c>
      <c r="K25" s="49">
        <f t="shared" si="3"/>
        <v>24.644910373184544</v>
      </c>
      <c r="L25" s="52">
        <f t="shared" si="2"/>
        <v>1.355089626815456</v>
      </c>
    </row>
    <row r="26" spans="1:12" ht="15">
      <c r="A26" s="156"/>
      <c r="B26" s="158"/>
      <c r="C26" s="45" t="s">
        <v>69</v>
      </c>
      <c r="D26" s="53" t="s">
        <v>15</v>
      </c>
      <c r="E26" s="49">
        <f t="shared" si="0"/>
        <v>19.167954962606927</v>
      </c>
      <c r="F26" s="50">
        <f>(1.3808*[2]!HEX2DEC(D26)+513)/0.2453</f>
        <v>5941.5703220546275</v>
      </c>
      <c r="G26" s="53">
        <v>265</v>
      </c>
      <c r="H26" s="49">
        <v>28</v>
      </c>
      <c r="I26" s="50">
        <f>(1.379*[2]!HEX2DEC(G26)+513)/0.2451</f>
        <v>5541.929824561404</v>
      </c>
      <c r="K26" s="49">
        <f t="shared" si="3"/>
        <v>28.152198678514473</v>
      </c>
      <c r="L26" s="52">
        <f t="shared" si="2"/>
        <v>-0.15219867851447333</v>
      </c>
    </row>
    <row r="27" spans="1:12" ht="15">
      <c r="A27" s="156">
        <v>2</v>
      </c>
      <c r="B27" s="157" t="s">
        <v>62</v>
      </c>
      <c r="C27" s="45" t="s">
        <v>64</v>
      </c>
      <c r="D27" s="53">
        <v>240</v>
      </c>
      <c r="E27" s="49">
        <f t="shared" si="0"/>
        <v>21.82446794530864</v>
      </c>
      <c r="F27" s="50">
        <f>(1.3808*[2]!HEX2DEC(D27)+513)/0.2453</f>
        <v>5333.635548308194</v>
      </c>
      <c r="G27" s="53">
        <v>268</v>
      </c>
      <c r="H27" s="49">
        <v>29.1</v>
      </c>
      <c r="I27" s="50">
        <f>(1.379*[2]!HEX2DEC(G27)+513)/0.2451</f>
        <v>5558.808649530803</v>
      </c>
      <c r="K27" s="49">
        <f t="shared" si="3"/>
        <v>29.029020754846933</v>
      </c>
      <c r="L27" s="52">
        <f t="shared" si="2"/>
        <v>0.07097924515306886</v>
      </c>
    </row>
    <row r="28" spans="1:12" ht="15">
      <c r="A28" s="156"/>
      <c r="B28" s="157"/>
      <c r="C28" s="45" t="s">
        <v>65</v>
      </c>
      <c r="D28" s="53">
        <v>263</v>
      </c>
      <c r="E28" s="49">
        <f t="shared" si="0"/>
        <v>20.926394778642305</v>
      </c>
      <c r="F28" s="50">
        <f>(1.3808*[2]!HEX2DEC(D28)+513)/0.2453</f>
        <v>5530.6514472075005</v>
      </c>
      <c r="G28" s="53">
        <v>268</v>
      </c>
      <c r="H28" s="49">
        <v>29.5</v>
      </c>
      <c r="I28" s="50">
        <f>(1.379*[2]!HEX2DEC(G28)+513)/0.2451</f>
        <v>5558.808649530803</v>
      </c>
      <c r="K28" s="49">
        <f t="shared" si="3"/>
        <v>29.029020754846933</v>
      </c>
      <c r="L28" s="52">
        <f t="shared" si="2"/>
        <v>0.47097924515306744</v>
      </c>
    </row>
    <row r="29" spans="1:12" ht="15">
      <c r="A29" s="156"/>
      <c r="B29" s="157"/>
      <c r="C29" s="45" t="s">
        <v>66</v>
      </c>
      <c r="D29" s="53">
        <v>277</v>
      </c>
      <c r="E29" s="49">
        <f t="shared" si="0"/>
        <v>20.429826945833952</v>
      </c>
      <c r="F29" s="50">
        <f>(1.3808*[2]!HEX2DEC(D29)+513)/0.2453</f>
        <v>5643.231960864247</v>
      </c>
      <c r="G29" s="53">
        <v>277</v>
      </c>
      <c r="H29" s="49">
        <v>28.9</v>
      </c>
      <c r="I29" s="50">
        <f>(1.379*[2]!HEX2DEC(G29)+513)/0.2451</f>
        <v>5643.202774377804</v>
      </c>
      <c r="K29" s="49">
        <f t="shared" si="3"/>
        <v>33.41313113650932</v>
      </c>
      <c r="L29" s="52">
        <f t="shared" si="2"/>
        <v>-4.5131311365093225</v>
      </c>
    </row>
    <row r="30" spans="1:12" ht="15">
      <c r="A30" s="156"/>
      <c r="B30" s="157"/>
      <c r="C30" s="45" t="s">
        <v>67</v>
      </c>
      <c r="D30" s="53" t="s">
        <v>24</v>
      </c>
      <c r="E30" s="49">
        <f t="shared" si="0"/>
        <v>21.460660283321488</v>
      </c>
      <c r="F30" s="50">
        <f>(1.3808*[2]!HEX2DEC(D30)+513)/0.2453</f>
        <v>5412.4419078679175</v>
      </c>
      <c r="G30" s="53">
        <v>276</v>
      </c>
      <c r="H30" s="49">
        <v>28.9</v>
      </c>
      <c r="I30" s="50">
        <f>(1.379*[2]!HEX2DEC(G30)+513)/0.2451</f>
        <v>5637.576499388005</v>
      </c>
      <c r="K30" s="49">
        <f t="shared" si="3"/>
        <v>33.120857111065185</v>
      </c>
      <c r="L30" s="52">
        <f t="shared" si="2"/>
        <v>-4.220857111065186</v>
      </c>
    </row>
    <row r="31" spans="1:12" ht="15">
      <c r="A31" s="156"/>
      <c r="B31" s="157"/>
      <c r="C31" s="45" t="s">
        <v>68</v>
      </c>
      <c r="D31" s="53">
        <v>268</v>
      </c>
      <c r="E31" s="49">
        <f t="shared" si="0"/>
        <v>20.801153275141075</v>
      </c>
      <c r="F31" s="50">
        <f>(1.3808*[2]!HEX2DEC(D31)+513)/0.2453</f>
        <v>5558.796575621687</v>
      </c>
      <c r="G31" s="53" t="s">
        <v>16</v>
      </c>
      <c r="H31" s="49">
        <v>27.7</v>
      </c>
      <c r="I31" s="50">
        <f>(1.379*[2]!HEX2DEC(G31)+513)/0.2451</f>
        <v>5575.687474500204</v>
      </c>
      <c r="K31" s="49">
        <f t="shared" si="3"/>
        <v>29.905842831179438</v>
      </c>
      <c r="L31" s="52">
        <f t="shared" si="2"/>
        <v>-2.2058428311794387</v>
      </c>
    </row>
    <row r="32" spans="1:12" ht="15">
      <c r="A32" s="156"/>
      <c r="B32" s="157"/>
      <c r="C32" s="45" t="s">
        <v>69</v>
      </c>
      <c r="D32" s="53" t="s">
        <v>20</v>
      </c>
      <c r="E32" s="49">
        <f t="shared" si="0"/>
        <v>21.102989062811787</v>
      </c>
      <c r="F32" s="50">
        <f>(1.3808*[2]!HEX2DEC(D32)+513)/0.2453</f>
        <v>5491.248267427641</v>
      </c>
      <c r="G32" s="53">
        <v>263</v>
      </c>
      <c r="H32" s="49">
        <v>28</v>
      </c>
      <c r="I32" s="50">
        <f>(1.379*[2]!HEX2DEC(G32)+513)/0.2451</f>
        <v>5530.6772745818025</v>
      </c>
      <c r="K32" s="49">
        <f t="shared" si="3"/>
        <v>27.567650627626104</v>
      </c>
      <c r="L32" s="52">
        <f t="shared" si="2"/>
        <v>0.4323493723738956</v>
      </c>
    </row>
    <row r="33" spans="1:12" ht="15">
      <c r="A33" s="156"/>
      <c r="B33" s="158" t="s">
        <v>61</v>
      </c>
      <c r="C33" s="45" t="s">
        <v>64</v>
      </c>
      <c r="D33" s="53" t="s">
        <v>28</v>
      </c>
      <c r="E33" s="49">
        <f t="shared" si="0"/>
        <v>19.564495951578238</v>
      </c>
      <c r="F33" s="50">
        <f>(1.3808*[2]!HEX2DEC(D33)+513)/0.2453</f>
        <v>5845.876885446392</v>
      </c>
      <c r="G33" s="53" t="s">
        <v>30</v>
      </c>
      <c r="H33" s="49">
        <v>30.4</v>
      </c>
      <c r="I33" s="50">
        <f>(1.379*[2]!HEX2DEC(G33)+513)/0.2451</f>
        <v>5660.081599347205</v>
      </c>
      <c r="K33" s="49">
        <f t="shared" si="3"/>
        <v>34.28995321284182</v>
      </c>
      <c r="L33" s="52">
        <f t="shared" si="2"/>
        <v>-3.8899532128418244</v>
      </c>
    </row>
    <row r="34" spans="1:12" ht="15">
      <c r="A34" s="156"/>
      <c r="B34" s="158"/>
      <c r="C34" s="45" t="s">
        <v>65</v>
      </c>
      <c r="D34" s="53" t="s">
        <v>29</v>
      </c>
      <c r="E34" s="49">
        <f t="shared" si="0"/>
        <v>19.920728773497444</v>
      </c>
      <c r="F34" s="50">
        <f>(1.3808*[2]!HEX2DEC(D34)+513)/0.2453</f>
        <v>5761.441500203832</v>
      </c>
      <c r="G34" s="53" t="s">
        <v>26</v>
      </c>
      <c r="H34" s="49">
        <v>29.6</v>
      </c>
      <c r="I34" s="50">
        <f>(1.379*[2]!HEX2DEC(G34)+513)/0.2451</f>
        <v>5570.061199510404</v>
      </c>
      <c r="K34" s="49">
        <f t="shared" si="3"/>
        <v>29.613568805735255</v>
      </c>
      <c r="L34" s="52">
        <f t="shared" si="2"/>
        <v>-0.013568805735253875</v>
      </c>
    </row>
    <row r="35" spans="1:12" ht="15">
      <c r="A35" s="156"/>
      <c r="B35" s="158"/>
      <c r="C35" s="45" t="s">
        <v>66</v>
      </c>
      <c r="D35" s="53" t="s">
        <v>22</v>
      </c>
      <c r="E35" s="49">
        <f t="shared" si="0"/>
        <v>21.850694231828015</v>
      </c>
      <c r="F35" s="50">
        <f>(1.3808*[2]!HEX2DEC(D35)+513)/0.2453</f>
        <v>5328.006522625357</v>
      </c>
      <c r="G35" s="53">
        <v>274</v>
      </c>
      <c r="H35" s="49">
        <v>28.3</v>
      </c>
      <c r="I35" s="50">
        <f>(1.379*[2]!HEX2DEC(G35)+513)/0.2451</f>
        <v>5626.3239494084055</v>
      </c>
      <c r="K35" s="49">
        <f t="shared" si="3"/>
        <v>32.53630906017691</v>
      </c>
      <c r="L35" s="52">
        <f t="shared" si="2"/>
        <v>-4.236309060176911</v>
      </c>
    </row>
    <row r="36" spans="1:12" ht="15">
      <c r="A36" s="156"/>
      <c r="B36" s="158"/>
      <c r="C36" s="45" t="s">
        <v>67</v>
      </c>
      <c r="D36" s="53">
        <v>228</v>
      </c>
      <c r="E36" s="49">
        <f t="shared" si="0"/>
        <v>22.462994284333092</v>
      </c>
      <c r="F36" s="50">
        <f>(1.3808*[2]!HEX2DEC(D36)+513)/0.2453</f>
        <v>5198.538931920098</v>
      </c>
      <c r="G36" s="53" t="s">
        <v>16</v>
      </c>
      <c r="H36" s="49">
        <v>30</v>
      </c>
      <c r="I36" s="50">
        <f>(1.379*[2]!HEX2DEC(G36)+513)/0.2451</f>
        <v>5575.687474500204</v>
      </c>
      <c r="K36" s="49">
        <f t="shared" si="3"/>
        <v>29.905842831179438</v>
      </c>
      <c r="L36" s="52">
        <f t="shared" si="2"/>
        <v>0.09415716882056202</v>
      </c>
    </row>
    <row r="37" spans="1:12" ht="15">
      <c r="A37" s="156"/>
      <c r="B37" s="158"/>
      <c r="C37" s="45" t="s">
        <v>68</v>
      </c>
      <c r="D37" s="53">
        <v>231</v>
      </c>
      <c r="E37" s="49">
        <f t="shared" si="0"/>
        <v>22.221298232275558</v>
      </c>
      <c r="F37" s="50">
        <f>(1.3808*[2]!HEX2DEC(D37)+513)/0.2453</f>
        <v>5249.200163065634</v>
      </c>
      <c r="G37" s="53" t="s">
        <v>31</v>
      </c>
      <c r="H37" s="49">
        <v>27.9</v>
      </c>
      <c r="I37" s="50">
        <f>(1.379*[2]!HEX2DEC(G37)+513)/0.2451</f>
        <v>5508.172174622602</v>
      </c>
      <c r="K37" s="49">
        <f t="shared" si="3"/>
        <v>26.398554525849462</v>
      </c>
      <c r="L37" s="52">
        <f t="shared" si="2"/>
        <v>1.501445474150536</v>
      </c>
    </row>
    <row r="38" spans="1:12" ht="15">
      <c r="A38" s="156"/>
      <c r="B38" s="158"/>
      <c r="C38" s="45" t="s">
        <v>69</v>
      </c>
      <c r="D38" s="53">
        <v>247</v>
      </c>
      <c r="E38" s="49">
        <f t="shared" si="0"/>
        <v>21.641784812038793</v>
      </c>
      <c r="F38" s="50">
        <f>(1.3808*[2]!HEX2DEC(D38)+513)/0.2453</f>
        <v>5373.038728088056</v>
      </c>
      <c r="G38" s="53">
        <v>265</v>
      </c>
      <c r="H38" s="49">
        <v>26</v>
      </c>
      <c r="I38" s="50">
        <f>(1.379*[2]!HEX2DEC(G38)+513)/0.2451</f>
        <v>5541.929824561404</v>
      </c>
      <c r="K38" s="49">
        <f t="shared" si="3"/>
        <v>28.152198678514473</v>
      </c>
      <c r="L38" s="52">
        <f t="shared" si="2"/>
        <v>-2.1521986785144733</v>
      </c>
    </row>
    <row r="39" spans="1:16" ht="15">
      <c r="A39" s="156">
        <v>3</v>
      </c>
      <c r="B39" s="157" t="s">
        <v>62</v>
      </c>
      <c r="C39" s="45" t="s">
        <v>64</v>
      </c>
      <c r="D39" s="53" t="s">
        <v>0</v>
      </c>
      <c r="E39" s="49">
        <f t="shared" si="0"/>
        <v>19.470514057727314</v>
      </c>
      <c r="F39" s="50">
        <f>(1.3808*[2]!HEX2DEC(D39)+513)/0.2453</f>
        <v>5868.392988177741</v>
      </c>
      <c r="G39" s="53">
        <v>268</v>
      </c>
      <c r="H39" s="49">
        <v>28.7</v>
      </c>
      <c r="I39" s="50">
        <f>(1.379*[2]!HEX2DEC(G39)+513)/0.2451</f>
        <v>5558.808649530803</v>
      </c>
      <c r="K39" s="49">
        <f t="shared" si="3"/>
        <v>29.029020754846933</v>
      </c>
      <c r="L39" s="52">
        <f t="shared" si="2"/>
        <v>-0.32902075484693327</v>
      </c>
      <c r="M39" s="53"/>
      <c r="N39" s="53"/>
      <c r="O39" s="53"/>
      <c r="P39" s="53"/>
    </row>
    <row r="40" spans="1:15" ht="15">
      <c r="A40" s="156"/>
      <c r="B40" s="157"/>
      <c r="C40" s="45" t="s">
        <v>65</v>
      </c>
      <c r="D40" s="53">
        <v>287</v>
      </c>
      <c r="E40" s="49">
        <f t="shared" si="0"/>
        <v>20.040829386071607</v>
      </c>
      <c r="F40" s="50">
        <f>(1.3808*[2]!HEX2DEC(D40)+513)/0.2453</f>
        <v>5733.2963717896455</v>
      </c>
      <c r="G40" s="53">
        <v>272</v>
      </c>
      <c r="H40" s="49">
        <v>33.2</v>
      </c>
      <c r="I40" s="50">
        <f>(1.379*[2]!HEX2DEC(G40)+513)/0.2451</f>
        <v>5615.0713994288035</v>
      </c>
      <c r="K40" s="49">
        <f t="shared" si="3"/>
        <v>31.951761009288493</v>
      </c>
      <c r="L40" s="52">
        <f t="shared" si="2"/>
        <v>1.24823899071151</v>
      </c>
      <c r="M40" s="53"/>
      <c r="N40" s="53"/>
      <c r="O40" s="53"/>
    </row>
    <row r="41" spans="1:14" ht="15">
      <c r="A41" s="156"/>
      <c r="B41" s="157"/>
      <c r="C41" s="45" t="s">
        <v>66</v>
      </c>
      <c r="D41" s="53" t="s">
        <v>1</v>
      </c>
      <c r="E41" s="49">
        <f t="shared" si="0"/>
        <v>20.627053864599986</v>
      </c>
      <c r="F41" s="50">
        <f>(1.3808*[2]!HEX2DEC(D41)+513)/0.2453</f>
        <v>5598.19975540155</v>
      </c>
      <c r="G41" s="53">
        <v>271</v>
      </c>
      <c r="H41" s="49">
        <v>30.1</v>
      </c>
      <c r="I41" s="50">
        <f>(1.379*[2]!HEX2DEC(G41)+513)/0.2451</f>
        <v>5609.445124439004</v>
      </c>
      <c r="K41" s="49">
        <f t="shared" si="3"/>
        <v>31.659486983844356</v>
      </c>
      <c r="L41" s="52">
        <f t="shared" si="2"/>
        <v>-1.559486983844355</v>
      </c>
      <c r="M41" s="53"/>
      <c r="N41" s="53"/>
    </row>
    <row r="42" spans="1:14" ht="15">
      <c r="A42" s="156"/>
      <c r="B42" s="157"/>
      <c r="C42" s="45" t="s">
        <v>67</v>
      </c>
      <c r="D42" s="53">
        <v>255</v>
      </c>
      <c r="E42" s="49">
        <f t="shared" si="0"/>
        <v>21.2810697236813</v>
      </c>
      <c r="F42" s="50">
        <f>(1.3808*[2]!HEX2DEC(D42)+513)/0.2453</f>
        <v>5451.845087647779</v>
      </c>
      <c r="G42" s="53">
        <v>273</v>
      </c>
      <c r="H42" s="49">
        <v>28.7</v>
      </c>
      <c r="I42" s="50">
        <f>(1.379*[2]!HEX2DEC(G42)+513)/0.2451</f>
        <v>5620.697674418605</v>
      </c>
      <c r="K42" s="49">
        <f t="shared" si="3"/>
        <v>32.244035034732725</v>
      </c>
      <c r="L42" s="52">
        <f t="shared" si="2"/>
        <v>-3.544035034732726</v>
      </c>
      <c r="M42" s="53"/>
      <c r="N42" s="53"/>
    </row>
    <row r="43" spans="1:14" ht="15">
      <c r="A43" s="156"/>
      <c r="B43" s="157"/>
      <c r="C43" s="45" t="s">
        <v>68</v>
      </c>
      <c r="D43" s="53" t="s">
        <v>2</v>
      </c>
      <c r="E43" s="49">
        <f t="shared" si="0"/>
        <v>26.071559147891776</v>
      </c>
      <c r="F43" s="50">
        <f>(1.3808*[2]!HEX2DEC(D43)+513)/0.2453</f>
        <v>4506.168772931105</v>
      </c>
      <c r="G43" s="53">
        <v>267</v>
      </c>
      <c r="H43" s="49">
        <v>28.2</v>
      </c>
      <c r="I43" s="50">
        <f>(1.379*[2]!HEX2DEC(G43)+513)/0.2451</f>
        <v>5553.182374541004</v>
      </c>
      <c r="K43" s="49">
        <f t="shared" si="3"/>
        <v>28.736746729402796</v>
      </c>
      <c r="L43" s="52">
        <f t="shared" si="2"/>
        <v>-0.5367467294027968</v>
      </c>
      <c r="M43" s="53"/>
      <c r="N43" s="53"/>
    </row>
    <row r="44" spans="1:14" ht="15">
      <c r="A44" s="156"/>
      <c r="B44" s="157"/>
      <c r="C44" s="45" t="s">
        <v>69</v>
      </c>
      <c r="D44" s="53">
        <v>267</v>
      </c>
      <c r="E44" s="49">
        <f t="shared" si="0"/>
        <v>20.826142242936612</v>
      </c>
      <c r="F44" s="50">
        <f>(1.3808*[2]!HEX2DEC(D44)+513)/0.2453</f>
        <v>5553.16754993885</v>
      </c>
      <c r="G44" s="53" t="s">
        <v>31</v>
      </c>
      <c r="H44" s="49">
        <v>27.8</v>
      </c>
      <c r="I44" s="50">
        <f>(1.379*[2]!HEX2DEC(G44)+513)/0.2451</f>
        <v>5508.172174622602</v>
      </c>
      <c r="K44" s="49">
        <f t="shared" si="3"/>
        <v>26.398554525849462</v>
      </c>
      <c r="L44" s="52">
        <f t="shared" si="2"/>
        <v>1.4014454741505382</v>
      </c>
      <c r="M44" s="53"/>
      <c r="N44" s="53"/>
    </row>
    <row r="45" spans="1:14" ht="15">
      <c r="A45" s="156"/>
      <c r="B45" s="158" t="s">
        <v>61</v>
      </c>
      <c r="C45" s="45" t="s">
        <v>64</v>
      </c>
      <c r="D45" s="53" t="s">
        <v>3</v>
      </c>
      <c r="E45" s="49">
        <f t="shared" si="0"/>
        <v>18.846947327428495</v>
      </c>
      <c r="F45" s="50">
        <f>(1.3808*[2]!HEX2DEC(D45)+513)/0.2453</f>
        <v>6020.376681614351</v>
      </c>
      <c r="G45" s="53">
        <v>264</v>
      </c>
      <c r="H45" s="49">
        <v>27.2</v>
      </c>
      <c r="I45" s="50">
        <f>(1.379*[2]!HEX2DEC(G45)+513)/0.2451</f>
        <v>5536.303549571602</v>
      </c>
      <c r="K45" s="49">
        <f t="shared" si="3"/>
        <v>27.85992465307024</v>
      </c>
      <c r="L45" s="52">
        <f t="shared" si="2"/>
        <v>-0.6599246530702416</v>
      </c>
      <c r="M45" s="53"/>
      <c r="N45" s="53"/>
    </row>
    <row r="46" spans="1:14" s="59" customFormat="1" ht="15">
      <c r="A46" s="156"/>
      <c r="B46" s="158"/>
      <c r="C46" s="59" t="s">
        <v>65</v>
      </c>
      <c r="D46" s="62"/>
      <c r="E46" s="61"/>
      <c r="F46" s="50"/>
      <c r="G46" s="62"/>
      <c r="H46" s="61"/>
      <c r="I46" s="50">
        <f>(1.379*[2]!HEX2DEC(G46)+513)/0.2451</f>
        <v>2093.0232558139533</v>
      </c>
      <c r="J46" s="51"/>
      <c r="K46" s="61"/>
      <c r="L46" s="52">
        <f t="shared" si="2"/>
        <v>0</v>
      </c>
      <c r="M46" s="62"/>
      <c r="N46" s="62"/>
    </row>
    <row r="47" spans="1:14" ht="15">
      <c r="A47" s="156"/>
      <c r="B47" s="158"/>
      <c r="C47" s="45" t="s">
        <v>66</v>
      </c>
      <c r="D47" s="53">
        <v>290</v>
      </c>
      <c r="E47" s="49">
        <f t="shared" si="0"/>
        <v>19.825140363158084</v>
      </c>
      <c r="F47" s="50">
        <f>(1.3808*[2]!HEX2DEC(D47)+513)/0.2453</f>
        <v>5783.957602935181</v>
      </c>
      <c r="G47" s="53">
        <v>270</v>
      </c>
      <c r="H47" s="49">
        <v>29.6</v>
      </c>
      <c r="I47" s="50">
        <f>(1.379*[2]!HEX2DEC(G47)+513)/0.2451</f>
        <v>5603.818849449204</v>
      </c>
      <c r="K47" s="49">
        <f>(I47-5000)/19.25</f>
        <v>31.36721295840022</v>
      </c>
      <c r="L47" s="52">
        <f t="shared" si="2"/>
        <v>-1.7672129584002185</v>
      </c>
      <c r="M47" s="53"/>
      <c r="N47" s="53"/>
    </row>
    <row r="48" spans="1:14" ht="15">
      <c r="A48" s="156"/>
      <c r="B48" s="158"/>
      <c r="C48" s="45" t="s">
        <v>67</v>
      </c>
      <c r="D48" s="53" t="s">
        <v>4</v>
      </c>
      <c r="E48" s="49">
        <f t="shared" si="0"/>
        <v>21.07767084717449</v>
      </c>
      <c r="F48" s="50">
        <f>(1.3808*[2]!HEX2DEC(D48)+513)/0.2453</f>
        <v>5496.877293110478</v>
      </c>
      <c r="G48" s="53" t="s">
        <v>16</v>
      </c>
      <c r="H48" s="49">
        <v>28</v>
      </c>
      <c r="I48" s="50">
        <f>(1.379*[2]!HEX2DEC(G48)+513)/0.2451</f>
        <v>5575.687474500204</v>
      </c>
      <c r="K48" s="49">
        <f>(I48-5000)/19.25</f>
        <v>29.905842831179438</v>
      </c>
      <c r="L48" s="52">
        <f t="shared" si="2"/>
        <v>-1.905842831179438</v>
      </c>
      <c r="M48" s="53"/>
      <c r="N48" s="53"/>
    </row>
    <row r="49" spans="1:14" ht="15">
      <c r="A49" s="156"/>
      <c r="B49" s="158"/>
      <c r="C49" s="45" t="s">
        <v>68</v>
      </c>
      <c r="D49" s="53" t="s">
        <v>5</v>
      </c>
      <c r="E49" s="49">
        <f t="shared" si="0"/>
        <v>19.075733842964326</v>
      </c>
      <c r="F49" s="50">
        <f>(1.3808*[2]!HEX2DEC(D49)+513)/0.2453</f>
        <v>5964.086424785977</v>
      </c>
      <c r="G49" s="53">
        <v>261</v>
      </c>
      <c r="H49" s="49">
        <v>27.1</v>
      </c>
      <c r="I49" s="50">
        <f>(1.379*[2]!HEX2DEC(G49)+513)/0.2451</f>
        <v>5519.424724602203</v>
      </c>
      <c r="K49" s="49">
        <f>(I49-5000)/19.25</f>
        <v>26.98310257673783</v>
      </c>
      <c r="L49" s="52">
        <f t="shared" si="2"/>
        <v>0.11689742326217001</v>
      </c>
      <c r="M49" s="53"/>
      <c r="N49" s="53"/>
    </row>
    <row r="50" spans="1:14" ht="15">
      <c r="A50" s="156"/>
      <c r="B50" s="158"/>
      <c r="C50" s="45" t="s">
        <v>69</v>
      </c>
      <c r="D50" s="53" t="s">
        <v>6</v>
      </c>
      <c r="E50" s="49">
        <f t="shared" si="0"/>
        <v>19.96868665541035</v>
      </c>
      <c r="F50" s="50">
        <f>(1.3808*[2]!HEX2DEC(D50)+513)/0.2453</f>
        <v>5750.183448838157</v>
      </c>
      <c r="G50" s="53">
        <v>265</v>
      </c>
      <c r="H50" s="49">
        <v>28.9</v>
      </c>
      <c r="I50" s="50">
        <f>(1.379*[2]!HEX2DEC(G50)+513)/0.2451</f>
        <v>5541.929824561404</v>
      </c>
      <c r="K50" s="49">
        <f>(I50-5000)/19.25</f>
        <v>28.152198678514473</v>
      </c>
      <c r="L50" s="52">
        <f t="shared" si="2"/>
        <v>0.7478013214855252</v>
      </c>
      <c r="M50" s="53"/>
      <c r="N50" s="53"/>
    </row>
    <row r="51" spans="1:14" ht="15">
      <c r="A51" s="156">
        <v>4</v>
      </c>
      <c r="B51" s="157" t="s">
        <v>62</v>
      </c>
      <c r="C51" s="45" t="s">
        <v>64</v>
      </c>
      <c r="D51" s="53">
        <v>276</v>
      </c>
      <c r="E51" s="49">
        <f t="shared" si="0"/>
        <v>20.454379621528574</v>
      </c>
      <c r="F51" s="50">
        <f>(1.3808*[2]!HEX2DEC(D51)+513)/0.2453</f>
        <v>5637.60293518141</v>
      </c>
      <c r="G51" s="53" t="s">
        <v>8</v>
      </c>
      <c r="H51" s="49">
        <v>29.1</v>
      </c>
      <c r="I51" s="50">
        <f>(1.379*[2]!HEX2DEC(G51)+513)/0.2451</f>
        <v>5581.313749490004</v>
      </c>
      <c r="K51" s="49">
        <f>(I51-5000)/19.25</f>
        <v>30.198116856623574</v>
      </c>
      <c r="L51" s="52">
        <f t="shared" si="2"/>
        <v>-1.098116856623573</v>
      </c>
      <c r="M51" s="53"/>
      <c r="N51" s="53"/>
    </row>
    <row r="52" spans="1:14" s="59" customFormat="1" ht="15">
      <c r="A52" s="156"/>
      <c r="B52" s="157"/>
      <c r="C52" s="59" t="s">
        <v>65</v>
      </c>
      <c r="D52" s="62"/>
      <c r="E52" s="61"/>
      <c r="F52" s="50"/>
      <c r="G52" s="62"/>
      <c r="H52" s="61"/>
      <c r="I52" s="50">
        <f>(1.379*[2]!HEX2DEC(G52)+513)/0.2451</f>
        <v>2093.0232558139533</v>
      </c>
      <c r="J52" s="51"/>
      <c r="K52" s="61"/>
      <c r="L52" s="52"/>
      <c r="M52" s="62"/>
      <c r="N52" s="62"/>
    </row>
    <row r="53" spans="1:14" ht="15">
      <c r="A53" s="156"/>
      <c r="B53" s="157"/>
      <c r="C53" s="45" t="s">
        <v>66</v>
      </c>
      <c r="D53" s="53">
        <v>258</v>
      </c>
      <c r="E53" s="49">
        <f t="shared" si="0"/>
        <v>21.204565938811186</v>
      </c>
      <c r="F53" s="50">
        <f>(1.3808*[2]!HEX2DEC(D53)+513)/0.2453</f>
        <v>5468.732164696291</v>
      </c>
      <c r="G53" s="53">
        <v>269</v>
      </c>
      <c r="H53" s="49">
        <v>29.1</v>
      </c>
      <c r="I53" s="50">
        <f>(1.379*[2]!HEX2DEC(G53)+513)/0.2451</f>
        <v>5564.434924520603</v>
      </c>
      <c r="K53" s="49">
        <f>(I53-5000)/19.25</f>
        <v>29.32129478029107</v>
      </c>
      <c r="L53" s="52">
        <f t="shared" si="2"/>
        <v>-0.22129478029106764</v>
      </c>
      <c r="M53" s="53"/>
      <c r="N53" s="53"/>
    </row>
    <row r="54" spans="1:14" ht="15">
      <c r="A54" s="156"/>
      <c r="B54" s="157"/>
      <c r="C54" s="45" t="s">
        <v>67</v>
      </c>
      <c r="D54" s="53">
        <v>210</v>
      </c>
      <c r="E54" s="49">
        <f t="shared" si="0"/>
        <v>23.121217079100973</v>
      </c>
      <c r="F54" s="50">
        <f>(1.3808*[2]!HEX2DEC(D54)+513)/0.2453</f>
        <v>5063.442315532002</v>
      </c>
      <c r="G54" s="53" t="s">
        <v>1</v>
      </c>
      <c r="H54" s="49">
        <v>30.3</v>
      </c>
      <c r="I54" s="50">
        <f>(1.379*[2]!HEX2DEC(G54)+513)/0.2451</f>
        <v>5598.192574459404</v>
      </c>
      <c r="K54" s="49">
        <f>(I54-5000)/19.25</f>
        <v>31.074938932956034</v>
      </c>
      <c r="L54" s="52">
        <f t="shared" si="2"/>
        <v>-0.774938932956033</v>
      </c>
      <c r="M54" s="53"/>
      <c r="N54" s="53"/>
    </row>
    <row r="55" spans="1:14" s="59" customFormat="1" ht="15">
      <c r="A55" s="156"/>
      <c r="B55" s="157"/>
      <c r="C55" s="59" t="s">
        <v>68</v>
      </c>
      <c r="D55" s="62"/>
      <c r="E55" s="61"/>
      <c r="F55" s="50"/>
      <c r="G55" s="62"/>
      <c r="H55" s="61"/>
      <c r="I55" s="50">
        <f>(1.379*[2]!HEX2DEC(G55)+513)/0.2451</f>
        <v>2093.0232558139533</v>
      </c>
      <c r="J55" s="51"/>
      <c r="K55" s="61"/>
      <c r="L55" s="52"/>
      <c r="M55" s="62"/>
      <c r="N55" s="62"/>
    </row>
    <row r="56" spans="1:14" ht="15">
      <c r="A56" s="156"/>
      <c r="B56" s="157"/>
      <c r="C56" s="45" t="s">
        <v>69</v>
      </c>
      <c r="D56" s="53">
        <v>266</v>
      </c>
      <c r="E56" s="49">
        <f t="shared" si="0"/>
        <v>20.851160811562067</v>
      </c>
      <c r="F56" s="50">
        <f>(1.3808*[2]!HEX2DEC(D56)+513)/0.2453</f>
        <v>5547.538524256013</v>
      </c>
      <c r="G56" s="53">
        <v>266</v>
      </c>
      <c r="H56" s="49">
        <v>29.8</v>
      </c>
      <c r="I56" s="50">
        <f>(1.379*[2]!HEX2DEC(G56)+513)/0.2451</f>
        <v>5547.556099551204</v>
      </c>
      <c r="K56" s="49">
        <f>(I56-5000)/19.25</f>
        <v>28.44447270395866</v>
      </c>
      <c r="L56" s="52">
        <f t="shared" si="2"/>
        <v>1.3555272960413411</v>
      </c>
      <c r="M56" s="53"/>
      <c r="N56" s="53"/>
    </row>
    <row r="57" spans="1:14" ht="15">
      <c r="A57" s="156"/>
      <c r="B57" s="158" t="s">
        <v>61</v>
      </c>
      <c r="C57" s="45" t="s">
        <v>64</v>
      </c>
      <c r="D57" s="53" t="s">
        <v>9</v>
      </c>
      <c r="E57" s="49">
        <f t="shared" si="0"/>
        <v>18.065419841825644</v>
      </c>
      <c r="F57" s="50">
        <f>(1.3808*[2]!HEX2DEC(D57)+513)/0.2453</f>
        <v>6217.392580513658</v>
      </c>
      <c r="G57" s="53" t="s">
        <v>26</v>
      </c>
      <c r="H57" s="49">
        <v>27.4</v>
      </c>
      <c r="I57" s="50">
        <f>(1.379*[2]!HEX2DEC(G57)+513)/0.2451</f>
        <v>5570.061199510404</v>
      </c>
      <c r="K57" s="49">
        <f>(I57-5000)/19.25</f>
        <v>29.613568805735255</v>
      </c>
      <c r="L57" s="52">
        <f t="shared" si="2"/>
        <v>-2.2135688057352567</v>
      </c>
      <c r="M57" s="53"/>
      <c r="N57" s="53"/>
    </row>
    <row r="58" spans="1:14" s="59" customFormat="1" ht="15">
      <c r="A58" s="156"/>
      <c r="B58" s="158"/>
      <c r="C58" s="59" t="s">
        <v>65</v>
      </c>
      <c r="D58" s="62" t="s">
        <v>7</v>
      </c>
      <c r="E58" s="61"/>
      <c r="F58" s="50"/>
      <c r="G58" s="62"/>
      <c r="H58" s="61"/>
      <c r="I58" s="50">
        <f>(1.379*[2]!HEX2DEC(G58)+513)/0.2451</f>
        <v>2093.0232558139533</v>
      </c>
      <c r="J58" s="51"/>
      <c r="K58" s="61"/>
      <c r="L58" s="52"/>
      <c r="M58" s="62"/>
      <c r="N58" s="62"/>
    </row>
    <row r="59" spans="1:14" ht="15">
      <c r="A59" s="156"/>
      <c r="B59" s="158"/>
      <c r="C59" s="45" t="s">
        <v>66</v>
      </c>
      <c r="D59" s="53" t="s">
        <v>10</v>
      </c>
      <c r="E59" s="49">
        <f t="shared" si="0"/>
        <v>20.30749104015331</v>
      </c>
      <c r="F59" s="50">
        <f>(1.3808*[2]!HEX2DEC(D59)+513)/0.2453</f>
        <v>5671.377089278434</v>
      </c>
      <c r="G59" s="53" t="s">
        <v>31</v>
      </c>
      <c r="H59" s="49">
        <v>28.1</v>
      </c>
      <c r="I59" s="50">
        <f>(1.379*[2]!HEX2DEC(G59)+513)/0.2451</f>
        <v>5508.172174622602</v>
      </c>
      <c r="K59" s="49">
        <f aca="true" t="shared" si="4" ref="K59:K90">(I59-5000)/19.25</f>
        <v>26.398554525849462</v>
      </c>
      <c r="L59" s="52">
        <f t="shared" si="2"/>
        <v>1.701445474150539</v>
      </c>
      <c r="M59" s="53"/>
      <c r="N59" s="53"/>
    </row>
    <row r="60" spans="1:14" ht="15">
      <c r="A60" s="156"/>
      <c r="B60" s="158"/>
      <c r="C60" s="45" t="s">
        <v>67</v>
      </c>
      <c r="D60" s="53">
        <v>209</v>
      </c>
      <c r="E60" s="49">
        <f t="shared" si="0"/>
        <v>23.317073982317936</v>
      </c>
      <c r="F60" s="50">
        <f>(1.3808*[2]!HEX2DEC(D60)+513)/0.2453</f>
        <v>5024.03913575214</v>
      </c>
      <c r="G60" s="53">
        <v>266</v>
      </c>
      <c r="H60" s="49">
        <v>30.3</v>
      </c>
      <c r="I60" s="50">
        <f>(1.379*[2]!HEX2DEC(G60)+513)/0.2451</f>
        <v>5547.556099551204</v>
      </c>
      <c r="K60" s="49">
        <f t="shared" si="4"/>
        <v>28.44447270395866</v>
      </c>
      <c r="L60" s="52">
        <f t="shared" si="2"/>
        <v>1.8555272960413411</v>
      </c>
      <c r="M60" s="53"/>
      <c r="N60" s="53"/>
    </row>
    <row r="61" spans="1:14" s="59" customFormat="1" ht="15">
      <c r="A61" s="156"/>
      <c r="B61" s="158"/>
      <c r="C61" s="59" t="s">
        <v>68</v>
      </c>
      <c r="D61" s="62">
        <v>224</v>
      </c>
      <c r="E61" s="61">
        <f t="shared" si="0"/>
        <v>22.571300018530394</v>
      </c>
      <c r="F61" s="50">
        <f>(1.3808*[2]!HEX2DEC(D61)+513)/0.2453</f>
        <v>5176.022829188749</v>
      </c>
      <c r="G61" s="62">
        <v>285</v>
      </c>
      <c r="H61" s="61">
        <v>30.9</v>
      </c>
      <c r="I61" s="50">
        <f>(1.379*[2]!HEX2DEC(G61)+513)/0.2451</f>
        <v>5721.970624235006</v>
      </c>
      <c r="J61" s="51"/>
      <c r="K61" s="61">
        <f t="shared" si="4"/>
        <v>37.50496749272757</v>
      </c>
      <c r="L61" s="52">
        <f t="shared" si="2"/>
        <v>-6.6049674927275746</v>
      </c>
      <c r="M61" s="62"/>
      <c r="N61" s="62"/>
    </row>
    <row r="62" spans="1:14" ht="15">
      <c r="A62" s="156"/>
      <c r="B62" s="158"/>
      <c r="C62" s="45" t="s">
        <v>69</v>
      </c>
      <c r="D62" s="53">
        <v>258</v>
      </c>
      <c r="E62" s="49">
        <f t="shared" si="0"/>
        <v>21.204565938811186</v>
      </c>
      <c r="F62" s="50">
        <f>(1.3808*[2]!HEX2DEC(D62)+513)/0.2453</f>
        <v>5468.732164696291</v>
      </c>
      <c r="G62" s="53" t="s">
        <v>27</v>
      </c>
      <c r="H62" s="49">
        <v>29.3</v>
      </c>
      <c r="I62" s="50">
        <f>(1.379*[2]!HEX2DEC(G62)+513)/0.2451</f>
        <v>5502.5458996328025</v>
      </c>
      <c r="K62" s="49">
        <f t="shared" si="4"/>
        <v>26.106280500405326</v>
      </c>
      <c r="L62" s="52">
        <f t="shared" si="2"/>
        <v>3.1937194995946747</v>
      </c>
      <c r="M62" s="53"/>
      <c r="N62" s="53"/>
    </row>
    <row r="63" spans="1:12" ht="15">
      <c r="A63" s="156">
        <v>5</v>
      </c>
      <c r="B63" s="157" t="s">
        <v>62</v>
      </c>
      <c r="C63" s="45" t="s">
        <v>64</v>
      </c>
      <c r="D63" s="53">
        <v>266</v>
      </c>
      <c r="E63" s="49">
        <f t="shared" si="0"/>
        <v>20.851160811562067</v>
      </c>
      <c r="F63" s="50">
        <f>(1.3808*[2]!HEX2DEC(D63)+513)/0.2453</f>
        <v>5547.538524256013</v>
      </c>
      <c r="G63" s="53">
        <v>265</v>
      </c>
      <c r="H63" s="49">
        <v>31.4</v>
      </c>
      <c r="I63" s="50">
        <f>(1.379*[2]!HEX2DEC(G63)+513)/0.2451</f>
        <v>5541.929824561404</v>
      </c>
      <c r="K63" s="49">
        <f t="shared" si="4"/>
        <v>28.152198678514473</v>
      </c>
      <c r="L63" s="52">
        <f t="shared" si="2"/>
        <v>3.2478013214855252</v>
      </c>
    </row>
    <row r="64" spans="1:12" ht="15">
      <c r="A64" s="156"/>
      <c r="B64" s="157"/>
      <c r="C64" s="45" t="s">
        <v>65</v>
      </c>
      <c r="D64" s="53" t="s">
        <v>21</v>
      </c>
      <c r="E64" s="49">
        <f t="shared" si="0"/>
        <v>20.676650170286678</v>
      </c>
      <c r="F64" s="50">
        <f>(1.3808*[2]!HEX2DEC(D64)+513)/0.2453</f>
        <v>5586.941704035874</v>
      </c>
      <c r="G64" s="53" t="s">
        <v>26</v>
      </c>
      <c r="H64" s="49">
        <v>30.4</v>
      </c>
      <c r="I64" s="50">
        <f>(1.379*[2]!HEX2DEC(G64)+513)/0.2451</f>
        <v>5570.061199510404</v>
      </c>
      <c r="K64" s="49">
        <f t="shared" si="4"/>
        <v>29.613568805735255</v>
      </c>
      <c r="L64" s="52">
        <f t="shared" si="2"/>
        <v>0.7864311942647433</v>
      </c>
    </row>
    <row r="65" spans="1:12" ht="15">
      <c r="A65" s="156"/>
      <c r="B65" s="157"/>
      <c r="C65" s="45" t="s">
        <v>66</v>
      </c>
      <c r="D65" s="53">
        <v>260</v>
      </c>
      <c r="E65" s="49">
        <f t="shared" si="0"/>
        <v>21.001897524559638</v>
      </c>
      <c r="F65" s="50">
        <f>(1.3808*[2]!HEX2DEC(D65)+513)/0.2453</f>
        <v>5513.764370158989</v>
      </c>
      <c r="G65" s="53" t="s">
        <v>27</v>
      </c>
      <c r="H65" s="49">
        <v>28.2</v>
      </c>
      <c r="I65" s="50">
        <f>(1.379*[2]!HEX2DEC(G65)+513)/0.2451</f>
        <v>5502.5458996328025</v>
      </c>
      <c r="K65" s="49">
        <f t="shared" si="4"/>
        <v>26.106280500405326</v>
      </c>
      <c r="L65" s="52">
        <f t="shared" si="2"/>
        <v>2.0937194995946733</v>
      </c>
    </row>
    <row r="66" spans="1:12" ht="15">
      <c r="A66" s="156"/>
      <c r="B66" s="157"/>
      <c r="C66" s="45" t="s">
        <v>67</v>
      </c>
      <c r="D66" s="53" t="s">
        <v>22</v>
      </c>
      <c r="E66" s="49">
        <f t="shared" si="0"/>
        <v>21.850694231828015</v>
      </c>
      <c r="F66" s="50">
        <f>(1.3808*[2]!HEX2DEC(D66)+513)/0.2453</f>
        <v>5328.006522625357</v>
      </c>
      <c r="G66" s="53" t="s">
        <v>17</v>
      </c>
      <c r="H66" s="49">
        <v>28.9</v>
      </c>
      <c r="I66" s="50">
        <f>(1.379*[2]!HEX2DEC(G66)+513)/0.2451</f>
        <v>5592.566299469604</v>
      </c>
      <c r="K66" s="49">
        <f t="shared" si="4"/>
        <v>30.782664907511897</v>
      </c>
      <c r="L66" s="52">
        <f t="shared" si="2"/>
        <v>-1.8826649075118986</v>
      </c>
    </row>
    <row r="67" spans="1:12" ht="15">
      <c r="A67" s="156"/>
      <c r="B67" s="157"/>
      <c r="C67" s="45" t="s">
        <v>68</v>
      </c>
      <c r="D67" s="53" t="s">
        <v>23</v>
      </c>
      <c r="E67" s="49">
        <f aca="true" t="shared" si="5" ref="E67:E130">(3500/(LN(F67/4700)+11.745))-273</f>
        <v>21.90324406889863</v>
      </c>
      <c r="F67" s="50">
        <f>(1.3808*[2]!HEX2DEC(D67)+513)/0.2453</f>
        <v>5316.748471259682</v>
      </c>
      <c r="G67" s="53" t="s">
        <v>1</v>
      </c>
      <c r="H67" s="49">
        <v>30</v>
      </c>
      <c r="I67" s="50">
        <f>(1.379*[2]!HEX2DEC(G67)+513)/0.2451</f>
        <v>5598.192574459404</v>
      </c>
      <c r="K67" s="49">
        <f t="shared" si="4"/>
        <v>31.074938932956034</v>
      </c>
      <c r="L67" s="52">
        <f t="shared" si="2"/>
        <v>-1.0749389329560337</v>
      </c>
    </row>
    <row r="68" spans="1:12" ht="15">
      <c r="A68" s="156"/>
      <c r="B68" s="157"/>
      <c r="C68" s="45" t="s">
        <v>69</v>
      </c>
      <c r="D68" s="53" t="s">
        <v>24</v>
      </c>
      <c r="E68" s="49">
        <f t="shared" si="5"/>
        <v>21.460660283321488</v>
      </c>
      <c r="F68" s="50">
        <f>(1.3808*[2]!HEX2DEC(D68)+513)/0.2453</f>
        <v>5412.4419078679175</v>
      </c>
      <c r="G68" s="53">
        <v>268</v>
      </c>
      <c r="H68" s="49">
        <v>31.6</v>
      </c>
      <c r="I68" s="50">
        <f>(1.379*[2]!HEX2DEC(G68)+513)/0.2451</f>
        <v>5558.808649530803</v>
      </c>
      <c r="K68" s="49">
        <f t="shared" si="4"/>
        <v>29.029020754846933</v>
      </c>
      <c r="L68" s="52">
        <f aca="true" t="shared" si="6" ref="L68:L131">H68-K68</f>
        <v>2.570979245153069</v>
      </c>
    </row>
    <row r="69" spans="1:12" ht="15">
      <c r="A69" s="156"/>
      <c r="B69" s="158" t="s">
        <v>61</v>
      </c>
      <c r="C69" s="45" t="s">
        <v>64</v>
      </c>
      <c r="D69" s="53" t="s">
        <v>5</v>
      </c>
      <c r="E69" s="49">
        <f t="shared" si="5"/>
        <v>19.075733842964326</v>
      </c>
      <c r="F69" s="50">
        <f>(1.3808*[2]!HEX2DEC(D69)+513)/0.2453</f>
        <v>5964.086424785977</v>
      </c>
      <c r="G69" s="53">
        <v>263</v>
      </c>
      <c r="H69" s="49">
        <v>29.2</v>
      </c>
      <c r="I69" s="50">
        <f>(1.379*[2]!HEX2DEC(G69)+513)/0.2451</f>
        <v>5530.6772745818025</v>
      </c>
      <c r="K69" s="49">
        <f t="shared" si="4"/>
        <v>27.567650627626104</v>
      </c>
      <c r="L69" s="52">
        <f t="shared" si="6"/>
        <v>1.6323493723738949</v>
      </c>
    </row>
    <row r="70" spans="1:12" ht="15">
      <c r="A70" s="156"/>
      <c r="B70" s="158"/>
      <c r="C70" s="45" t="s">
        <v>65</v>
      </c>
      <c r="D70" s="53" t="s">
        <v>25</v>
      </c>
      <c r="E70" s="49">
        <f t="shared" si="5"/>
        <v>18.4860314669437</v>
      </c>
      <c r="F70" s="50">
        <f>(1.3808*[2]!HEX2DEC(D70)+513)/0.2453</f>
        <v>6110.441092539748</v>
      </c>
      <c r="G70" s="53">
        <v>260</v>
      </c>
      <c r="H70" s="49">
        <v>28.7</v>
      </c>
      <c r="I70" s="50">
        <f>(1.379*[2]!HEX2DEC(G70)+513)/0.2451</f>
        <v>5513.798449612403</v>
      </c>
      <c r="K70" s="49">
        <f t="shared" si="4"/>
        <v>26.690828551293645</v>
      </c>
      <c r="L70" s="52">
        <f t="shared" si="6"/>
        <v>2.009171448706354</v>
      </c>
    </row>
    <row r="71" spans="1:12" ht="15">
      <c r="A71" s="156"/>
      <c r="B71" s="158"/>
      <c r="C71" s="45" t="s">
        <v>66</v>
      </c>
      <c r="D71" s="53" t="s">
        <v>1</v>
      </c>
      <c r="E71" s="49">
        <f t="shared" si="5"/>
        <v>20.627053864599986</v>
      </c>
      <c r="F71" s="50">
        <f>(1.3808*[2]!HEX2DEC(D71)+513)/0.2453</f>
        <v>5598.19975540155</v>
      </c>
      <c r="G71" s="53" t="s">
        <v>21</v>
      </c>
      <c r="H71" s="49">
        <v>28.9</v>
      </c>
      <c r="I71" s="50">
        <f>(1.379*[2]!HEX2DEC(G71)+513)/0.2451</f>
        <v>5586.9400244798035</v>
      </c>
      <c r="K71" s="49">
        <f t="shared" si="4"/>
        <v>30.49039088206771</v>
      </c>
      <c r="L71" s="52">
        <f t="shared" si="6"/>
        <v>-1.5903908820677124</v>
      </c>
    </row>
    <row r="72" spans="1:12" ht="15">
      <c r="A72" s="156"/>
      <c r="B72" s="158"/>
      <c r="C72" s="45" t="s">
        <v>67</v>
      </c>
      <c r="D72" s="53" t="s">
        <v>21</v>
      </c>
      <c r="E72" s="49">
        <f t="shared" si="5"/>
        <v>20.676650170286678</v>
      </c>
      <c r="F72" s="50">
        <f>(1.3808*[2]!HEX2DEC(D72)+513)/0.2453</f>
        <v>5586.941704035874</v>
      </c>
      <c r="G72" s="53">
        <v>272</v>
      </c>
      <c r="H72" s="49">
        <v>29.3</v>
      </c>
      <c r="I72" s="50">
        <f>(1.379*[2]!HEX2DEC(G72)+513)/0.2451</f>
        <v>5615.0713994288035</v>
      </c>
      <c r="K72" s="49">
        <f t="shared" si="4"/>
        <v>31.951761009288493</v>
      </c>
      <c r="L72" s="52">
        <f t="shared" si="6"/>
        <v>-2.6517610092884922</v>
      </c>
    </row>
    <row r="73" spans="1:12" ht="15">
      <c r="A73" s="156"/>
      <c r="B73" s="158"/>
      <c r="C73" s="45" t="s">
        <v>68</v>
      </c>
      <c r="D73" s="53">
        <v>272</v>
      </c>
      <c r="E73" s="49">
        <f t="shared" si="5"/>
        <v>20.5528773792135</v>
      </c>
      <c r="F73" s="50">
        <f>(1.3808*[2]!HEX2DEC(D73)+513)/0.2453</f>
        <v>5615.086832450061</v>
      </c>
      <c r="G73" s="53" t="s">
        <v>27</v>
      </c>
      <c r="H73" s="49">
        <v>30.2</v>
      </c>
      <c r="I73" s="50">
        <f>(1.379*[2]!HEX2DEC(G73)+513)/0.2451</f>
        <v>5502.5458996328025</v>
      </c>
      <c r="K73" s="49">
        <f t="shared" si="4"/>
        <v>26.106280500405326</v>
      </c>
      <c r="L73" s="52">
        <f t="shared" si="6"/>
        <v>4.093719499594673</v>
      </c>
    </row>
    <row r="74" spans="1:12" ht="15">
      <c r="A74" s="156"/>
      <c r="B74" s="158"/>
      <c r="C74" s="45" t="s">
        <v>69</v>
      </c>
      <c r="D74" s="53">
        <v>280</v>
      </c>
      <c r="E74" s="49">
        <f t="shared" si="5"/>
        <v>20.210131592688924</v>
      </c>
      <c r="F74" s="50">
        <f>(1.3808*[2]!HEX2DEC(D74)+513)/0.2453</f>
        <v>5693.893192009784</v>
      </c>
      <c r="G74" s="53">
        <v>263</v>
      </c>
      <c r="H74" s="49">
        <v>29.5</v>
      </c>
      <c r="I74" s="50">
        <f>(1.379*[2]!HEX2DEC(G74)+513)/0.2451</f>
        <v>5530.6772745818025</v>
      </c>
      <c r="K74" s="49">
        <f t="shared" si="4"/>
        <v>27.567650627626104</v>
      </c>
      <c r="L74" s="52">
        <f t="shared" si="6"/>
        <v>1.9323493723738956</v>
      </c>
    </row>
    <row r="75" spans="1:12" ht="15">
      <c r="A75" s="156">
        <v>6</v>
      </c>
      <c r="B75" s="157" t="s">
        <v>62</v>
      </c>
      <c r="C75" s="45" t="s">
        <v>64</v>
      </c>
      <c r="D75" s="53" t="s">
        <v>35</v>
      </c>
      <c r="E75" s="49">
        <f t="shared" si="5"/>
        <v>22.355235465704254</v>
      </c>
      <c r="F75" s="50">
        <f>(1.3808*[2]!HEX2DEC(D75)+513)/0.2453</f>
        <v>5221.055034651447</v>
      </c>
      <c r="G75" s="53">
        <v>267</v>
      </c>
      <c r="H75" s="49">
        <v>28.7</v>
      </c>
      <c r="I75" s="50">
        <f>(1.379*[2]!HEX2DEC(G75)+513)/0.2451</f>
        <v>5553.182374541004</v>
      </c>
      <c r="K75" s="49">
        <f t="shared" si="4"/>
        <v>28.736746729402796</v>
      </c>
      <c r="L75" s="52">
        <f t="shared" si="6"/>
        <v>-0.036746729402796774</v>
      </c>
    </row>
    <row r="76" spans="1:12" ht="15">
      <c r="A76" s="156"/>
      <c r="B76" s="157"/>
      <c r="C76" s="45" t="s">
        <v>65</v>
      </c>
      <c r="D76" s="53" t="s">
        <v>23</v>
      </c>
      <c r="E76" s="49">
        <f t="shared" si="5"/>
        <v>21.90324406889863</v>
      </c>
      <c r="F76" s="50">
        <f>(1.3808*[2]!HEX2DEC(D76)+513)/0.2453</f>
        <v>5316.748471259682</v>
      </c>
      <c r="G76" s="53">
        <v>261</v>
      </c>
      <c r="H76" s="49">
        <v>29.1</v>
      </c>
      <c r="I76" s="50">
        <f>(1.379*[2]!HEX2DEC(G76)+513)/0.2451</f>
        <v>5519.424724602203</v>
      </c>
      <c r="K76" s="49">
        <f t="shared" si="4"/>
        <v>26.98310257673783</v>
      </c>
      <c r="L76" s="52">
        <f t="shared" si="6"/>
        <v>2.11689742326217</v>
      </c>
    </row>
    <row r="77" spans="1:12" ht="15">
      <c r="A77" s="156"/>
      <c r="B77" s="157"/>
      <c r="C77" s="45" t="s">
        <v>66</v>
      </c>
      <c r="D77" s="53" t="s">
        <v>20</v>
      </c>
      <c r="E77" s="49">
        <f t="shared" si="5"/>
        <v>21.102989062811787</v>
      </c>
      <c r="F77" s="50">
        <f>(1.3808*[2]!HEX2DEC(D77)+513)/0.2453</f>
        <v>5491.248267427641</v>
      </c>
      <c r="G77" s="53">
        <v>261</v>
      </c>
      <c r="H77" s="49">
        <v>26.4</v>
      </c>
      <c r="I77" s="50">
        <f>(1.379*[2]!HEX2DEC(G77)+513)/0.2451</f>
        <v>5519.424724602203</v>
      </c>
      <c r="K77" s="49">
        <f t="shared" si="4"/>
        <v>26.98310257673783</v>
      </c>
      <c r="L77" s="52">
        <f t="shared" si="6"/>
        <v>-0.5831025767378328</v>
      </c>
    </row>
    <row r="78" spans="1:12" ht="15">
      <c r="A78" s="156"/>
      <c r="B78" s="157"/>
      <c r="C78" s="45" t="s">
        <v>67</v>
      </c>
      <c r="D78" s="53" t="s">
        <v>20</v>
      </c>
      <c r="E78" s="49">
        <f t="shared" si="5"/>
        <v>21.102989062811787</v>
      </c>
      <c r="F78" s="50">
        <f>(1.3808*[2]!HEX2DEC(D78)+513)/0.2453</f>
        <v>5491.248267427641</v>
      </c>
      <c r="G78" s="53" t="s">
        <v>17</v>
      </c>
      <c r="H78" s="49">
        <v>29.1</v>
      </c>
      <c r="I78" s="50">
        <f>(1.379*[2]!HEX2DEC(G78)+513)/0.2451</f>
        <v>5592.566299469604</v>
      </c>
      <c r="K78" s="49">
        <f t="shared" si="4"/>
        <v>30.782664907511897</v>
      </c>
      <c r="L78" s="52">
        <f t="shared" si="6"/>
        <v>-1.6826649075118958</v>
      </c>
    </row>
    <row r="79" spans="1:12" ht="15">
      <c r="A79" s="156"/>
      <c r="B79" s="157"/>
      <c r="C79" s="45" t="s">
        <v>68</v>
      </c>
      <c r="D79" s="53" t="s">
        <v>36</v>
      </c>
      <c r="E79" s="49">
        <f t="shared" si="5"/>
        <v>22.81701464512156</v>
      </c>
      <c r="F79" s="50">
        <f>(1.3808*[2]!HEX2DEC(D79)+513)/0.2453</f>
        <v>5125.361598043213</v>
      </c>
      <c r="G79" s="53">
        <v>271</v>
      </c>
      <c r="H79" s="49">
        <v>29.7</v>
      </c>
      <c r="I79" s="50">
        <f>(1.379*[2]!HEX2DEC(G79)+513)/0.2451</f>
        <v>5609.445124439004</v>
      </c>
      <c r="K79" s="49">
        <f t="shared" si="4"/>
        <v>31.659486983844356</v>
      </c>
      <c r="L79" s="52">
        <f t="shared" si="6"/>
        <v>-1.9594869838443572</v>
      </c>
    </row>
    <row r="80" spans="1:12" ht="15">
      <c r="A80" s="156"/>
      <c r="B80" s="157"/>
      <c r="C80" s="45" t="s">
        <v>69</v>
      </c>
      <c r="D80" s="53">
        <v>251</v>
      </c>
      <c r="E80" s="49">
        <f t="shared" si="5"/>
        <v>21.383506483941687</v>
      </c>
      <c r="F80" s="50">
        <f>(1.3808*[2]!HEX2DEC(D80)+513)/0.2453</f>
        <v>5429.328984916429</v>
      </c>
      <c r="G80" s="53" t="s">
        <v>21</v>
      </c>
      <c r="H80" s="49">
        <v>28.5</v>
      </c>
      <c r="I80" s="50">
        <f>(1.379*[2]!HEX2DEC(G80)+513)/0.2451</f>
        <v>5586.9400244798035</v>
      </c>
      <c r="K80" s="49">
        <f t="shared" si="4"/>
        <v>30.49039088206771</v>
      </c>
      <c r="L80" s="52">
        <f t="shared" si="6"/>
        <v>-1.990390882067711</v>
      </c>
    </row>
    <row r="81" spans="1:12" ht="15">
      <c r="A81" s="156"/>
      <c r="B81" s="158" t="s">
        <v>61</v>
      </c>
      <c r="C81" s="45" t="s">
        <v>64</v>
      </c>
      <c r="D81" s="53">
        <v>283</v>
      </c>
      <c r="E81" s="49">
        <f t="shared" si="5"/>
        <v>20.137406528607414</v>
      </c>
      <c r="F81" s="50">
        <f>(1.3808*[2]!HEX2DEC(D81)+513)/0.2453</f>
        <v>5710.780269058297</v>
      </c>
      <c r="G81" s="53">
        <v>253</v>
      </c>
      <c r="H81" s="49">
        <v>25.5</v>
      </c>
      <c r="I81" s="50">
        <f>(1.379*[2]!HEX2DEC(G81)+513)/0.2451</f>
        <v>5440.656874745002</v>
      </c>
      <c r="K81" s="49">
        <f t="shared" si="4"/>
        <v>22.89126622051958</v>
      </c>
      <c r="L81" s="52">
        <f t="shared" si="6"/>
        <v>2.6087337794804206</v>
      </c>
    </row>
    <row r="82" spans="1:12" ht="15">
      <c r="A82" s="156"/>
      <c r="B82" s="158"/>
      <c r="C82" s="45" t="s">
        <v>65</v>
      </c>
      <c r="D82" s="53">
        <v>293</v>
      </c>
      <c r="E82" s="49">
        <f t="shared" si="5"/>
        <v>19.753733670155157</v>
      </c>
      <c r="F82" s="50">
        <f>(1.3808*[2]!HEX2DEC(D82)+513)/0.2453</f>
        <v>5800.844679983694</v>
      </c>
      <c r="G82" s="53" t="s">
        <v>27</v>
      </c>
      <c r="H82" s="49">
        <v>26.8</v>
      </c>
      <c r="I82" s="50">
        <f>(1.379*[2]!HEX2DEC(G82)+513)/0.2451</f>
        <v>5502.5458996328025</v>
      </c>
      <c r="K82" s="49">
        <f t="shared" si="4"/>
        <v>26.106280500405326</v>
      </c>
      <c r="L82" s="52">
        <f t="shared" si="6"/>
        <v>0.6937194995946747</v>
      </c>
    </row>
    <row r="83" spans="1:12" ht="15">
      <c r="A83" s="156"/>
      <c r="B83" s="158"/>
      <c r="C83" s="45" t="s">
        <v>66</v>
      </c>
      <c r="D83" s="53">
        <v>263</v>
      </c>
      <c r="E83" s="49">
        <f t="shared" si="5"/>
        <v>20.926394778642305</v>
      </c>
      <c r="F83" s="50">
        <f>(1.3808*[2]!HEX2DEC(D83)+513)/0.2453</f>
        <v>5530.6514472075005</v>
      </c>
      <c r="G83" s="53" t="s">
        <v>20</v>
      </c>
      <c r="H83" s="49">
        <v>25.5</v>
      </c>
      <c r="I83" s="50">
        <f>(1.379*[2]!HEX2DEC(G83)+513)/0.2451</f>
        <v>5491.293349653203</v>
      </c>
      <c r="K83" s="49">
        <f t="shared" si="4"/>
        <v>25.52173244951705</v>
      </c>
      <c r="L83" s="52">
        <f t="shared" si="6"/>
        <v>-0.021732449517049446</v>
      </c>
    </row>
    <row r="84" spans="1:12" ht="15">
      <c r="A84" s="156"/>
      <c r="B84" s="158"/>
      <c r="C84" s="45" t="s">
        <v>67</v>
      </c>
      <c r="D84" s="53" t="s">
        <v>34</v>
      </c>
      <c r="E84" s="49">
        <f t="shared" si="5"/>
        <v>20.283108922023246</v>
      </c>
      <c r="F84" s="50">
        <f>(1.3808*[2]!HEX2DEC(D84)+513)/0.2453</f>
        <v>5677.006114961272</v>
      </c>
      <c r="G84" s="53" t="s">
        <v>26</v>
      </c>
      <c r="H84" s="49">
        <v>26.3</v>
      </c>
      <c r="I84" s="50">
        <f>(1.379*[2]!HEX2DEC(G84)+513)/0.2451</f>
        <v>5570.061199510404</v>
      </c>
      <c r="K84" s="49">
        <f t="shared" si="4"/>
        <v>29.613568805735255</v>
      </c>
      <c r="L84" s="52">
        <f t="shared" si="6"/>
        <v>-3.3135688057352546</v>
      </c>
    </row>
    <row r="85" spans="1:12" ht="15">
      <c r="A85" s="156"/>
      <c r="B85" s="158"/>
      <c r="C85" s="45" t="s">
        <v>68</v>
      </c>
      <c r="D85" s="53">
        <v>244</v>
      </c>
      <c r="E85" s="49">
        <f t="shared" si="5"/>
        <v>21.71988527700148</v>
      </c>
      <c r="F85" s="50">
        <f>(1.3808*[2]!HEX2DEC(D85)+513)/0.2453</f>
        <v>5356.151651039544</v>
      </c>
      <c r="G85" s="53">
        <v>256</v>
      </c>
      <c r="H85" s="49">
        <v>26.4</v>
      </c>
      <c r="I85" s="50">
        <f>(1.379*[2]!HEX2DEC(G85)+513)/0.2451</f>
        <v>5457.535699714403</v>
      </c>
      <c r="K85" s="49">
        <f t="shared" si="4"/>
        <v>23.768088296852085</v>
      </c>
      <c r="L85" s="52">
        <f t="shared" si="6"/>
        <v>2.631911703147914</v>
      </c>
    </row>
    <row r="86" spans="1:12" ht="15">
      <c r="A86" s="156"/>
      <c r="B86" s="158"/>
      <c r="C86" s="45" t="s">
        <v>69</v>
      </c>
      <c r="D86" s="53">
        <v>267</v>
      </c>
      <c r="E86" s="49">
        <f t="shared" si="5"/>
        <v>20.826142242936612</v>
      </c>
      <c r="F86" s="50">
        <f>(1.3808*[2]!HEX2DEC(D86)+513)/0.2453</f>
        <v>5553.16754993885</v>
      </c>
      <c r="G86" s="53" t="s">
        <v>33</v>
      </c>
      <c r="H86" s="49">
        <v>28</v>
      </c>
      <c r="I86" s="50">
        <f>(1.379*[2]!HEX2DEC(G86)+513)/0.2451</f>
        <v>5485.667074663403</v>
      </c>
      <c r="K86" s="49">
        <f t="shared" si="4"/>
        <v>25.229458424072867</v>
      </c>
      <c r="L86" s="52">
        <f t="shared" si="6"/>
        <v>2.7705415759271332</v>
      </c>
    </row>
    <row r="87" spans="1:12" ht="15">
      <c r="A87" s="156">
        <v>7</v>
      </c>
      <c r="B87" s="157" t="s">
        <v>62</v>
      </c>
      <c r="C87" s="45" t="s">
        <v>64</v>
      </c>
      <c r="D87" s="53" t="s">
        <v>34</v>
      </c>
      <c r="E87" s="49">
        <f t="shared" si="5"/>
        <v>20.283108922023246</v>
      </c>
      <c r="F87" s="50">
        <f>(1.3808*[2]!HEX2DEC(D87)+513)/0.2453</f>
        <v>5677.006114961272</v>
      </c>
      <c r="G87" s="53">
        <v>263</v>
      </c>
      <c r="H87" s="49">
        <v>27.5</v>
      </c>
      <c r="I87" s="50">
        <f>(1.379*[2]!HEX2DEC(G87)+513)/0.2451</f>
        <v>5530.6772745818025</v>
      </c>
      <c r="K87" s="49">
        <f t="shared" si="4"/>
        <v>27.567650627626104</v>
      </c>
      <c r="L87" s="52">
        <f t="shared" si="6"/>
        <v>-0.06765062762610441</v>
      </c>
    </row>
    <row r="88" spans="1:12" ht="15">
      <c r="A88" s="156"/>
      <c r="B88" s="157"/>
      <c r="C88" s="45" t="s">
        <v>65</v>
      </c>
      <c r="D88" s="53" t="s">
        <v>41</v>
      </c>
      <c r="E88" s="49">
        <f t="shared" si="5"/>
        <v>19.37695208298976</v>
      </c>
      <c r="F88" s="50">
        <f>(1.3808*[2]!HEX2DEC(D88)+513)/0.2453</f>
        <v>5890.909090909091</v>
      </c>
      <c r="G88" s="53">
        <v>260</v>
      </c>
      <c r="H88" s="49">
        <v>28</v>
      </c>
      <c r="I88" s="50">
        <f>(1.379*[2]!HEX2DEC(G88)+513)/0.2451</f>
        <v>5513.798449612403</v>
      </c>
      <c r="K88" s="49">
        <f t="shared" si="4"/>
        <v>26.690828551293645</v>
      </c>
      <c r="L88" s="52">
        <f t="shared" si="6"/>
        <v>1.3091714487063548</v>
      </c>
    </row>
    <row r="89" spans="1:12" ht="15">
      <c r="A89" s="156"/>
      <c r="B89" s="157"/>
      <c r="C89" s="45" t="s">
        <v>66</v>
      </c>
      <c r="D89" s="53" t="s">
        <v>42</v>
      </c>
      <c r="E89" s="49">
        <f t="shared" si="5"/>
        <v>19.848996691414072</v>
      </c>
      <c r="F89" s="50">
        <f>(1.3808*[2]!HEX2DEC(D89)+513)/0.2453</f>
        <v>5778.328577252344</v>
      </c>
      <c r="G89" s="53" t="s">
        <v>26</v>
      </c>
      <c r="H89" s="49">
        <v>28.5</v>
      </c>
      <c r="I89" s="50">
        <f>(1.379*[2]!HEX2DEC(G89)+513)/0.2451</f>
        <v>5570.061199510404</v>
      </c>
      <c r="K89" s="49">
        <f t="shared" si="4"/>
        <v>29.613568805735255</v>
      </c>
      <c r="L89" s="52">
        <f t="shared" si="6"/>
        <v>-1.1135688057352553</v>
      </c>
    </row>
    <row r="90" spans="1:12" ht="15">
      <c r="A90" s="156"/>
      <c r="B90" s="157"/>
      <c r="C90" s="45" t="s">
        <v>67</v>
      </c>
      <c r="D90" s="53" t="s">
        <v>29</v>
      </c>
      <c r="E90" s="49">
        <f t="shared" si="5"/>
        <v>19.920728773497444</v>
      </c>
      <c r="F90" s="50">
        <f>(1.3808*[2]!HEX2DEC(D90)+513)/0.2453</f>
        <v>5761.441500203832</v>
      </c>
      <c r="G90" s="53">
        <v>260</v>
      </c>
      <c r="H90" s="49">
        <v>27.5</v>
      </c>
      <c r="I90" s="50">
        <f>(1.379*[2]!HEX2DEC(G90)+513)/0.2451</f>
        <v>5513.798449612403</v>
      </c>
      <c r="K90" s="49">
        <f t="shared" si="4"/>
        <v>26.690828551293645</v>
      </c>
      <c r="L90" s="52">
        <f t="shared" si="6"/>
        <v>0.8091714487063548</v>
      </c>
    </row>
    <row r="91" spans="1:12" ht="15">
      <c r="A91" s="156"/>
      <c r="B91" s="157"/>
      <c r="C91" s="45" t="s">
        <v>68</v>
      </c>
      <c r="D91" s="53">
        <v>278</v>
      </c>
      <c r="E91" s="49">
        <f t="shared" si="5"/>
        <v>20.405302850852195</v>
      </c>
      <c r="F91" s="50">
        <f>(1.3808*[2]!HEX2DEC(D91)+513)/0.2453</f>
        <v>5648.860986547085</v>
      </c>
      <c r="G91" s="53">
        <v>253</v>
      </c>
      <c r="H91" s="49">
        <v>26.5</v>
      </c>
      <c r="I91" s="50">
        <f>(1.379*[2]!HEX2DEC(G91)+513)/0.2451</f>
        <v>5440.656874745002</v>
      </c>
      <c r="K91" s="49">
        <f aca="true" t="shared" si="7" ref="K91:K109">(I91-5000)/19.25</f>
        <v>22.89126622051958</v>
      </c>
      <c r="L91" s="52">
        <f t="shared" si="6"/>
        <v>3.6087337794804206</v>
      </c>
    </row>
    <row r="92" spans="1:12" ht="15">
      <c r="A92" s="156"/>
      <c r="B92" s="157"/>
      <c r="C92" s="45" t="s">
        <v>69</v>
      </c>
      <c r="D92" s="53" t="s">
        <v>43</v>
      </c>
      <c r="E92" s="49">
        <f t="shared" si="5"/>
        <v>21.153716561984652</v>
      </c>
      <c r="F92" s="50">
        <f>(1.3808*[2]!HEX2DEC(D92)+513)/0.2453</f>
        <v>5479.990216061966</v>
      </c>
      <c r="G92" s="53">
        <v>265</v>
      </c>
      <c r="H92" s="49">
        <v>30</v>
      </c>
      <c r="I92" s="50">
        <f>(1.379*[2]!HEX2DEC(G92)+513)/0.2451</f>
        <v>5541.929824561404</v>
      </c>
      <c r="K92" s="49">
        <f t="shared" si="7"/>
        <v>28.152198678514473</v>
      </c>
      <c r="L92" s="52">
        <f t="shared" si="6"/>
        <v>1.8478013214855267</v>
      </c>
    </row>
    <row r="93" spans="1:12" ht="15">
      <c r="A93" s="156"/>
      <c r="B93" s="158" t="s">
        <v>61</v>
      </c>
      <c r="C93" s="45" t="s">
        <v>64</v>
      </c>
      <c r="D93" s="53" t="s">
        <v>37</v>
      </c>
      <c r="E93" s="49">
        <f t="shared" si="5"/>
        <v>17.439438834088833</v>
      </c>
      <c r="F93" s="50">
        <f>(1.3808*[2]!HEX2DEC(D93)+513)/0.2453</f>
        <v>6380.634325315939</v>
      </c>
      <c r="G93" s="53">
        <v>264</v>
      </c>
      <c r="H93" s="49">
        <v>25.5</v>
      </c>
      <c r="I93" s="50">
        <f>(1.379*[2]!HEX2DEC(G93)+513)/0.2451</f>
        <v>5536.303549571602</v>
      </c>
      <c r="K93" s="49">
        <f t="shared" si="7"/>
        <v>27.85992465307024</v>
      </c>
      <c r="L93" s="52">
        <f t="shared" si="6"/>
        <v>-2.359924653070241</v>
      </c>
    </row>
    <row r="94" spans="1:12" ht="15">
      <c r="A94" s="156"/>
      <c r="B94" s="158"/>
      <c r="C94" s="45" t="s">
        <v>65</v>
      </c>
      <c r="D94" s="53" t="s">
        <v>38</v>
      </c>
      <c r="E94" s="49">
        <f t="shared" si="5"/>
        <v>17.760859367501723</v>
      </c>
      <c r="F94" s="50">
        <f>(1.3808*[2]!HEX2DEC(D94)+513)/0.2453</f>
        <v>6296.198940073379</v>
      </c>
      <c r="G94" s="53">
        <v>267</v>
      </c>
      <c r="H94" s="49">
        <v>29</v>
      </c>
      <c r="I94" s="50">
        <f>(1.379*[2]!HEX2DEC(G94)+513)/0.2451</f>
        <v>5553.182374541004</v>
      </c>
      <c r="K94" s="49">
        <f t="shared" si="7"/>
        <v>28.736746729402796</v>
      </c>
      <c r="L94" s="52">
        <f t="shared" si="6"/>
        <v>0.26325327059720394</v>
      </c>
    </row>
    <row r="95" spans="1:12" ht="15">
      <c r="A95" s="156"/>
      <c r="B95" s="158"/>
      <c r="C95" s="45" t="s">
        <v>66</v>
      </c>
      <c r="D95" s="53" t="s">
        <v>39</v>
      </c>
      <c r="E95" s="49">
        <f t="shared" si="5"/>
        <v>18.983918100104972</v>
      </c>
      <c r="F95" s="50">
        <f>(1.3808*[2]!HEX2DEC(D95)+513)/0.2453</f>
        <v>5986.602527517326</v>
      </c>
      <c r="G95" s="53" t="s">
        <v>1</v>
      </c>
      <c r="H95" s="49">
        <v>30</v>
      </c>
      <c r="I95" s="50">
        <f>(1.379*[2]!HEX2DEC(G95)+513)/0.2451</f>
        <v>5598.192574459404</v>
      </c>
      <c r="K95" s="49">
        <f t="shared" si="7"/>
        <v>31.074938932956034</v>
      </c>
      <c r="L95" s="52">
        <f t="shared" si="6"/>
        <v>-1.0749389329560337</v>
      </c>
    </row>
    <row r="96" spans="1:12" ht="15">
      <c r="A96" s="156"/>
      <c r="B96" s="158"/>
      <c r="C96" s="45" t="s">
        <v>67</v>
      </c>
      <c r="D96" s="53">
        <v>294</v>
      </c>
      <c r="E96" s="49">
        <f t="shared" si="5"/>
        <v>19.729985345797445</v>
      </c>
      <c r="F96" s="50">
        <f>(1.3808*[2]!HEX2DEC(D96)+513)/0.2453</f>
        <v>5806.473705666531</v>
      </c>
      <c r="G96" s="53">
        <v>268</v>
      </c>
      <c r="H96" s="49">
        <v>29.6</v>
      </c>
      <c r="I96" s="50">
        <f>(1.379*[2]!HEX2DEC(G96)+513)/0.2451</f>
        <v>5558.808649530803</v>
      </c>
      <c r="K96" s="49">
        <f t="shared" si="7"/>
        <v>29.029020754846933</v>
      </c>
      <c r="L96" s="52">
        <f t="shared" si="6"/>
        <v>0.5709792451530689</v>
      </c>
    </row>
    <row r="97" spans="1:12" ht="15">
      <c r="A97" s="156"/>
      <c r="B97" s="158"/>
      <c r="C97" s="45" t="s">
        <v>68</v>
      </c>
      <c r="D97" s="53" t="s">
        <v>40</v>
      </c>
      <c r="E97" s="49">
        <f t="shared" si="5"/>
        <v>19.098750988448842</v>
      </c>
      <c r="F97" s="50">
        <f>(1.3808*[2]!HEX2DEC(D97)+513)/0.2453</f>
        <v>5958.457399103139</v>
      </c>
      <c r="G97" s="53">
        <v>264</v>
      </c>
      <c r="H97" s="49">
        <v>30</v>
      </c>
      <c r="I97" s="50">
        <f>(1.379*[2]!HEX2DEC(G97)+513)/0.2451</f>
        <v>5536.303549571602</v>
      </c>
      <c r="K97" s="49">
        <f t="shared" si="7"/>
        <v>27.85992465307024</v>
      </c>
      <c r="L97" s="52">
        <f t="shared" si="6"/>
        <v>2.140075346929759</v>
      </c>
    </row>
    <row r="98" spans="1:12" ht="15">
      <c r="A98" s="156"/>
      <c r="B98" s="158"/>
      <c r="C98" s="45" t="s">
        <v>69</v>
      </c>
      <c r="D98" s="53">
        <v>297</v>
      </c>
      <c r="E98" s="49">
        <f t="shared" si="5"/>
        <v>19.658901297020805</v>
      </c>
      <c r="F98" s="50">
        <f>(1.3808*[2]!HEX2DEC(D98)+513)/0.2453</f>
        <v>5823.360782715044</v>
      </c>
      <c r="G98" s="53" t="s">
        <v>31</v>
      </c>
      <c r="H98" s="49">
        <v>29</v>
      </c>
      <c r="I98" s="50">
        <f>(1.379*[2]!HEX2DEC(G98)+513)/0.2451</f>
        <v>5508.172174622602</v>
      </c>
      <c r="K98" s="49">
        <f t="shared" si="7"/>
        <v>26.398554525849462</v>
      </c>
      <c r="L98" s="52">
        <f t="shared" si="6"/>
        <v>2.6014454741505375</v>
      </c>
    </row>
    <row r="99" spans="1:12" ht="12.75" customHeight="1">
      <c r="A99" s="156">
        <v>8</v>
      </c>
      <c r="B99" s="157" t="s">
        <v>62</v>
      </c>
      <c r="C99" s="45" t="s">
        <v>64</v>
      </c>
      <c r="D99" s="53">
        <v>290</v>
      </c>
      <c r="E99" s="49">
        <f t="shared" si="5"/>
        <v>19.825140363158084</v>
      </c>
      <c r="F99" s="50">
        <f>(1.3808*[2]!HEX2DEC(D99)+513)/0.2453</f>
        <v>5783.957602935181</v>
      </c>
      <c r="G99" s="53">
        <v>267</v>
      </c>
      <c r="H99" s="49">
        <v>28.1</v>
      </c>
      <c r="I99" s="50">
        <f>(1.379*[2]!HEX2DEC(G99)+513)/0.2451</f>
        <v>5553.182374541004</v>
      </c>
      <c r="K99" s="49">
        <f t="shared" si="7"/>
        <v>28.736746729402796</v>
      </c>
      <c r="L99" s="52">
        <f t="shared" si="6"/>
        <v>-0.6367467294027946</v>
      </c>
    </row>
    <row r="100" spans="1:12" ht="15">
      <c r="A100" s="156"/>
      <c r="B100" s="157"/>
      <c r="C100" s="45" t="s">
        <v>65</v>
      </c>
      <c r="D100" s="53">
        <v>262</v>
      </c>
      <c r="E100" s="49">
        <f t="shared" si="5"/>
        <v>20.951532407876698</v>
      </c>
      <c r="F100" s="50">
        <f>(1.3808*[2]!HEX2DEC(D100)+513)/0.2453</f>
        <v>5525.0224215246635</v>
      </c>
      <c r="G100" s="53">
        <v>266</v>
      </c>
      <c r="H100" s="49">
        <v>28</v>
      </c>
      <c r="I100" s="50">
        <f>(1.379*[2]!HEX2DEC(G100)+513)/0.2451</f>
        <v>5547.556099551204</v>
      </c>
      <c r="K100" s="49">
        <f t="shared" si="7"/>
        <v>28.44447270395866</v>
      </c>
      <c r="L100" s="52">
        <f t="shared" si="6"/>
        <v>-0.44447270395865957</v>
      </c>
    </row>
    <row r="101" spans="1:12" s="59" customFormat="1" ht="15">
      <c r="A101" s="156"/>
      <c r="B101" s="157"/>
      <c r="C101" s="59" t="s">
        <v>66</v>
      </c>
      <c r="D101" s="62" t="s">
        <v>50</v>
      </c>
      <c r="E101" s="61">
        <f t="shared" si="5"/>
        <v>20.3319014307437</v>
      </c>
      <c r="F101" s="50">
        <f>(1.3808*[2]!HEX2DEC(D101)+513)/0.2453</f>
        <v>5665.748063595597</v>
      </c>
      <c r="G101" s="62">
        <v>266</v>
      </c>
      <c r="H101" s="61">
        <v>23.8</v>
      </c>
      <c r="I101" s="50">
        <f>(1.379*[2]!HEX2DEC(G101)+513)/0.2451</f>
        <v>5547.556099551204</v>
      </c>
      <c r="J101" s="51"/>
      <c r="K101" s="61">
        <f t="shared" si="7"/>
        <v>28.44447270395866</v>
      </c>
      <c r="L101" s="52">
        <f t="shared" si="6"/>
        <v>-4.644472703958659</v>
      </c>
    </row>
    <row r="102" spans="1:12" ht="15">
      <c r="A102" s="156"/>
      <c r="B102" s="157"/>
      <c r="C102" s="45" t="s">
        <v>67</v>
      </c>
      <c r="D102" s="53" t="s">
        <v>51</v>
      </c>
      <c r="E102" s="49">
        <f t="shared" si="5"/>
        <v>19.423680799564465</v>
      </c>
      <c r="F102" s="50">
        <f>(1.3808*[2]!HEX2DEC(D102)+513)/0.2453</f>
        <v>5879.651039543417</v>
      </c>
      <c r="G102" s="53">
        <v>258</v>
      </c>
      <c r="H102" s="49">
        <v>27.4</v>
      </c>
      <c r="I102" s="50">
        <f>(1.379*[2]!HEX2DEC(G102)+513)/0.2451</f>
        <v>5468.788249694003</v>
      </c>
      <c r="K102" s="49">
        <f t="shared" si="7"/>
        <v>24.352636347740408</v>
      </c>
      <c r="L102" s="52">
        <f t="shared" si="6"/>
        <v>3.047363652259591</v>
      </c>
    </row>
    <row r="103" spans="1:12" ht="15">
      <c r="A103" s="156"/>
      <c r="B103" s="157"/>
      <c r="C103" s="45" t="s">
        <v>68</v>
      </c>
      <c r="D103" s="53">
        <v>263</v>
      </c>
      <c r="E103" s="49">
        <f t="shared" si="5"/>
        <v>20.926394778642305</v>
      </c>
      <c r="F103" s="50">
        <f>(1.3808*[2]!HEX2DEC(D103)+513)/0.2453</f>
        <v>5530.6514472075005</v>
      </c>
      <c r="G103" s="53" t="s">
        <v>16</v>
      </c>
      <c r="H103" s="49">
        <v>28.7</v>
      </c>
      <c r="I103" s="50">
        <f>(1.379*[2]!HEX2DEC(G103)+513)/0.2451</f>
        <v>5575.687474500204</v>
      </c>
      <c r="K103" s="49">
        <f t="shared" si="7"/>
        <v>29.905842831179438</v>
      </c>
      <c r="L103" s="52">
        <f t="shared" si="6"/>
        <v>-1.2058428311794387</v>
      </c>
    </row>
    <row r="104" spans="1:12" ht="15">
      <c r="A104" s="156"/>
      <c r="B104" s="157"/>
      <c r="C104" s="45" t="s">
        <v>69</v>
      </c>
      <c r="D104" s="53">
        <v>254</v>
      </c>
      <c r="E104" s="49">
        <f t="shared" si="5"/>
        <v>21.30663251974113</v>
      </c>
      <c r="F104" s="50">
        <f>(1.3808*[2]!HEX2DEC(D104)+513)/0.2453</f>
        <v>5446.216061964941</v>
      </c>
      <c r="G104" s="53">
        <v>261</v>
      </c>
      <c r="H104" s="49">
        <v>28.5</v>
      </c>
      <c r="I104" s="50">
        <f>(1.379*[2]!HEX2DEC(G104)+513)/0.2451</f>
        <v>5519.424724602203</v>
      </c>
      <c r="K104" s="49">
        <f t="shared" si="7"/>
        <v>26.98310257673783</v>
      </c>
      <c r="L104" s="52">
        <f t="shared" si="6"/>
        <v>1.5168974232621686</v>
      </c>
    </row>
    <row r="105" spans="1:12" ht="15">
      <c r="A105" s="156"/>
      <c r="B105" s="158" t="s">
        <v>61</v>
      </c>
      <c r="C105" s="45" t="s">
        <v>64</v>
      </c>
      <c r="D105" s="53" t="s">
        <v>44</v>
      </c>
      <c r="E105" s="49">
        <f t="shared" si="5"/>
        <v>16.749442021543985</v>
      </c>
      <c r="F105" s="50">
        <f>(1.3808*[2]!HEX2DEC(D105)+513)/0.2453</f>
        <v>6566.3921728495725</v>
      </c>
      <c r="G105" s="53">
        <v>268</v>
      </c>
      <c r="H105" s="49">
        <v>25.5</v>
      </c>
      <c r="I105" s="50">
        <f>(1.379*[2]!HEX2DEC(G105)+513)/0.2451</f>
        <v>5558.808649530803</v>
      </c>
      <c r="K105" s="49">
        <f t="shared" si="7"/>
        <v>29.029020754846933</v>
      </c>
      <c r="L105" s="52">
        <f t="shared" si="6"/>
        <v>-3.5290207548469326</v>
      </c>
    </row>
    <row r="106" spans="1:12" s="59" customFormat="1" ht="15">
      <c r="A106" s="156"/>
      <c r="B106" s="158"/>
      <c r="C106" s="59" t="s">
        <v>65</v>
      </c>
      <c r="D106" s="62" t="s">
        <v>45</v>
      </c>
      <c r="E106" s="61">
        <f t="shared" si="5"/>
        <v>17.33339929377098</v>
      </c>
      <c r="F106" s="50">
        <f>(1.3808*[2]!HEX2DEC(D106)+513)/0.2453</f>
        <v>6408.779453730126</v>
      </c>
      <c r="G106" s="62">
        <v>272</v>
      </c>
      <c r="H106" s="61">
        <v>26</v>
      </c>
      <c r="I106" s="50">
        <f>(1.379*[2]!HEX2DEC(G106)+513)/0.2451</f>
        <v>5615.0713994288035</v>
      </c>
      <c r="J106" s="51"/>
      <c r="K106" s="61">
        <f t="shared" si="7"/>
        <v>31.951761009288493</v>
      </c>
      <c r="L106" s="52">
        <f t="shared" si="6"/>
        <v>-5.951761009288493</v>
      </c>
    </row>
    <row r="107" spans="1:12" ht="15">
      <c r="A107" s="156"/>
      <c r="B107" s="158"/>
      <c r="C107" s="45" t="s">
        <v>66</v>
      </c>
      <c r="D107" s="53" t="s">
        <v>46</v>
      </c>
      <c r="E107" s="49">
        <f t="shared" si="5"/>
        <v>18.938161207609653</v>
      </c>
      <c r="F107" s="50">
        <f>(1.3808*[2]!HEX2DEC(D107)+513)/0.2453</f>
        <v>5997.860578883001</v>
      </c>
      <c r="G107" s="53">
        <v>254</v>
      </c>
      <c r="H107" s="49">
        <v>26.1</v>
      </c>
      <c r="I107" s="50">
        <f>(1.379*[2]!HEX2DEC(G107)+513)/0.2451</f>
        <v>5446.283149734802</v>
      </c>
      <c r="K107" s="49">
        <f t="shared" si="7"/>
        <v>23.183540245963716</v>
      </c>
      <c r="L107" s="52">
        <f t="shared" si="6"/>
        <v>2.9164597540362855</v>
      </c>
    </row>
    <row r="108" spans="1:12" ht="15">
      <c r="A108" s="156"/>
      <c r="B108" s="158"/>
      <c r="C108" s="45" t="s">
        <v>67</v>
      </c>
      <c r="D108" s="53" t="s">
        <v>47</v>
      </c>
      <c r="E108" s="49">
        <f t="shared" si="5"/>
        <v>18.35228492237684</v>
      </c>
      <c r="F108" s="50">
        <f>(1.3808*[2]!HEX2DEC(D108)+513)/0.2453</f>
        <v>6144.215246636772</v>
      </c>
      <c r="G108" s="53" t="s">
        <v>4</v>
      </c>
      <c r="H108" s="49">
        <v>25.3</v>
      </c>
      <c r="I108" s="50">
        <f>(1.379*[2]!HEX2DEC(G108)+513)/0.2451</f>
        <v>5496.919624643003</v>
      </c>
      <c r="K108" s="49">
        <f t="shared" si="7"/>
        <v>25.814006474961186</v>
      </c>
      <c r="L108" s="52">
        <f t="shared" si="6"/>
        <v>-0.5140064749611852</v>
      </c>
    </row>
    <row r="109" spans="1:12" ht="15">
      <c r="A109" s="156"/>
      <c r="B109" s="158"/>
      <c r="C109" s="45" t="s">
        <v>68</v>
      </c>
      <c r="D109" s="53" t="s">
        <v>48</v>
      </c>
      <c r="E109" s="49">
        <f t="shared" si="5"/>
        <v>19.121793521966367</v>
      </c>
      <c r="F109" s="50">
        <f>(1.3808*[2]!HEX2DEC(D109)+513)/0.2453</f>
        <v>5952.828373420301</v>
      </c>
      <c r="G109" s="53">
        <v>258</v>
      </c>
      <c r="H109" s="49">
        <v>26.7</v>
      </c>
      <c r="I109" s="50">
        <f>(1.379*[2]!HEX2DEC(G109)+513)/0.2451</f>
        <v>5468.788249694003</v>
      </c>
      <c r="K109" s="49">
        <f t="shared" si="7"/>
        <v>24.352636347740408</v>
      </c>
      <c r="L109" s="52">
        <f t="shared" si="6"/>
        <v>2.3473636522595918</v>
      </c>
    </row>
    <row r="110" spans="1:12" s="59" customFormat="1" ht="15">
      <c r="A110" s="156"/>
      <c r="B110" s="158"/>
      <c r="C110" s="59" t="s">
        <v>69</v>
      </c>
      <c r="D110" s="62"/>
      <c r="E110" s="61"/>
      <c r="F110" s="50"/>
      <c r="G110" s="62"/>
      <c r="H110" s="61"/>
      <c r="I110" s="50">
        <f>(1.379*[2]!HEX2DEC(G110)+513)/0.2451</f>
        <v>2093.0232558139533</v>
      </c>
      <c r="J110" s="51"/>
      <c r="K110" s="61"/>
      <c r="L110" s="52"/>
    </row>
    <row r="111" spans="1:12" ht="15">
      <c r="A111" s="156">
        <v>9</v>
      </c>
      <c r="B111" s="157" t="s">
        <v>62</v>
      </c>
      <c r="C111" s="45" t="s">
        <v>64</v>
      </c>
      <c r="D111" s="53" t="s">
        <v>84</v>
      </c>
      <c r="E111" s="49">
        <f t="shared" si="5"/>
        <v>18.396771613781198</v>
      </c>
      <c r="F111" s="50">
        <f>(1.3808*[2]!HEX2DEC(D111)+513)/0.2453</f>
        <v>6132.957195271098</v>
      </c>
      <c r="G111" s="53">
        <v>248</v>
      </c>
      <c r="H111" s="49">
        <v>23.8</v>
      </c>
      <c r="I111" s="50">
        <f>(1.379*[2]!HEX2DEC(G111)+513)/0.2451</f>
        <v>5378.767849857201</v>
      </c>
      <c r="K111" s="49">
        <f aca="true" t="shared" si="8" ref="K111:K133">(I111-5000)/19.25</f>
        <v>19.676251940633836</v>
      </c>
      <c r="L111" s="52">
        <f t="shared" si="6"/>
        <v>4.123748059366164</v>
      </c>
    </row>
    <row r="112" spans="1:12" ht="15">
      <c r="A112" s="156"/>
      <c r="B112" s="157"/>
      <c r="C112" s="45" t="s">
        <v>65</v>
      </c>
      <c r="D112" s="53" t="s">
        <v>85</v>
      </c>
      <c r="E112" s="49">
        <f t="shared" si="5"/>
        <v>18.374516371566017</v>
      </c>
      <c r="F112" s="50">
        <f>(1.3808*[2]!HEX2DEC(D112)+513)/0.2453</f>
        <v>6138.586220953935</v>
      </c>
      <c r="G112" s="53" t="s">
        <v>8</v>
      </c>
      <c r="H112" s="49">
        <v>29.6</v>
      </c>
      <c r="I112" s="50">
        <f>(1.379*[2]!HEX2DEC(G112)+513)/0.2451</f>
        <v>5581.313749490004</v>
      </c>
      <c r="K112" s="49">
        <f t="shared" si="8"/>
        <v>30.198116856623574</v>
      </c>
      <c r="L112" s="52">
        <f t="shared" si="6"/>
        <v>-0.5981168566235731</v>
      </c>
    </row>
    <row r="113" spans="1:12" ht="15">
      <c r="A113" s="156"/>
      <c r="B113" s="157"/>
      <c r="C113" s="45" t="s">
        <v>66</v>
      </c>
      <c r="D113" s="53" t="s">
        <v>86</v>
      </c>
      <c r="E113" s="49">
        <f t="shared" si="5"/>
        <v>19.307054073075278</v>
      </c>
      <c r="F113" s="50">
        <f>(1.3808*[2]!HEX2DEC(D113)+513)/0.2453</f>
        <v>5907.796167957604</v>
      </c>
      <c r="G113" s="53">
        <v>260</v>
      </c>
      <c r="H113" s="49">
        <v>26.6</v>
      </c>
      <c r="I113" s="50">
        <f>(1.379*[2]!HEX2DEC(G113)+513)/0.2451</f>
        <v>5513.798449612403</v>
      </c>
      <c r="K113" s="49">
        <f t="shared" si="8"/>
        <v>26.690828551293645</v>
      </c>
      <c r="L113" s="52">
        <f t="shared" si="6"/>
        <v>-0.09082855129364376</v>
      </c>
    </row>
    <row r="114" spans="1:12" ht="15">
      <c r="A114" s="156"/>
      <c r="B114" s="157"/>
      <c r="C114" s="45" t="s">
        <v>67</v>
      </c>
      <c r="D114" s="53" t="s">
        <v>4</v>
      </c>
      <c r="E114" s="49">
        <f t="shared" si="5"/>
        <v>21.07767084717449</v>
      </c>
      <c r="F114" s="50">
        <f>(1.3808*[2]!HEX2DEC(D114)+513)/0.2453</f>
        <v>5496.877293110478</v>
      </c>
      <c r="G114" s="53">
        <v>268</v>
      </c>
      <c r="H114" s="49">
        <v>28.7</v>
      </c>
      <c r="I114" s="50">
        <f>(1.379*[2]!HEX2DEC(G114)+513)/0.2451</f>
        <v>5558.808649530803</v>
      </c>
      <c r="K114" s="49">
        <f t="shared" si="8"/>
        <v>29.029020754846933</v>
      </c>
      <c r="L114" s="52">
        <f t="shared" si="6"/>
        <v>-0.32902075484693327</v>
      </c>
    </row>
    <row r="115" spans="1:12" ht="15">
      <c r="A115" s="156"/>
      <c r="B115" s="157"/>
      <c r="C115" s="45" t="s">
        <v>68</v>
      </c>
      <c r="D115" s="53" t="s">
        <v>86</v>
      </c>
      <c r="E115" s="49">
        <f t="shared" si="5"/>
        <v>19.307054073075278</v>
      </c>
      <c r="F115" s="50">
        <f>(1.3808*[2]!HEX2DEC(D115)+513)/0.2453</f>
        <v>5907.796167957604</v>
      </c>
      <c r="G115" s="53">
        <v>255</v>
      </c>
      <c r="H115" s="49">
        <v>27</v>
      </c>
      <c r="I115" s="50">
        <f>(1.379*[2]!HEX2DEC(G115)+513)/0.2451</f>
        <v>5451.909424724601</v>
      </c>
      <c r="K115" s="49">
        <f t="shared" si="8"/>
        <v>23.475814271407856</v>
      </c>
      <c r="L115" s="52">
        <f t="shared" si="6"/>
        <v>3.524185728592144</v>
      </c>
    </row>
    <row r="116" spans="1:12" ht="15">
      <c r="A116" s="156"/>
      <c r="B116" s="157"/>
      <c r="C116" s="45" t="s">
        <v>69</v>
      </c>
      <c r="D116" s="53" t="s">
        <v>87</v>
      </c>
      <c r="E116" s="49">
        <f t="shared" si="5"/>
        <v>18.892504419437444</v>
      </c>
      <c r="F116" s="50">
        <f>(1.3808*[2]!HEX2DEC(D116)+513)/0.2453</f>
        <v>6009.118630248675</v>
      </c>
      <c r="G116" s="53">
        <v>259</v>
      </c>
      <c r="H116" s="49">
        <v>29.3</v>
      </c>
      <c r="I116" s="50">
        <f>(1.379*[2]!HEX2DEC(G116)+513)/0.2451</f>
        <v>5474.4145246838025</v>
      </c>
      <c r="K116" s="49">
        <f t="shared" si="8"/>
        <v>24.644910373184544</v>
      </c>
      <c r="L116" s="52">
        <f t="shared" si="6"/>
        <v>4.655089626815457</v>
      </c>
    </row>
    <row r="117" spans="1:12" ht="15">
      <c r="A117" s="156"/>
      <c r="B117" s="158" t="s">
        <v>61</v>
      </c>
      <c r="C117" s="45" t="s">
        <v>64</v>
      </c>
      <c r="D117" s="53" t="s">
        <v>82</v>
      </c>
      <c r="E117" s="49">
        <f t="shared" si="5"/>
        <v>17.58881396291781</v>
      </c>
      <c r="F117" s="50">
        <f>(1.3808*[2]!HEX2DEC(D117)+513)/0.2453</f>
        <v>6341.231145536079</v>
      </c>
      <c r="G117" s="53">
        <v>263</v>
      </c>
      <c r="H117" s="49">
        <v>24.6</v>
      </c>
      <c r="I117" s="50">
        <f>(1.379*[2]!HEX2DEC(G117)+513)/0.2451</f>
        <v>5530.6772745818025</v>
      </c>
      <c r="K117" s="49">
        <f t="shared" si="8"/>
        <v>27.567650627626104</v>
      </c>
      <c r="L117" s="52">
        <f t="shared" si="6"/>
        <v>-2.967650627626103</v>
      </c>
    </row>
    <row r="118" spans="1:12" ht="15">
      <c r="A118" s="156"/>
      <c r="B118" s="158"/>
      <c r="C118" s="45" t="s">
        <v>65</v>
      </c>
      <c r="D118" s="53">
        <v>316</v>
      </c>
      <c r="E118" s="49">
        <f t="shared" si="5"/>
        <v>16.852513964889454</v>
      </c>
      <c r="F118" s="50">
        <f>(1.3808*[2]!HEX2DEC(D118)+513)/0.2453</f>
        <v>6538.247044435386</v>
      </c>
      <c r="G118" s="53" t="s">
        <v>16</v>
      </c>
      <c r="H118" s="49">
        <v>26.7</v>
      </c>
      <c r="I118" s="50">
        <f>(1.379*[2]!HEX2DEC(G118)+513)/0.2451</f>
        <v>5575.687474500204</v>
      </c>
      <c r="K118" s="49">
        <f t="shared" si="8"/>
        <v>29.905842831179438</v>
      </c>
      <c r="L118" s="52">
        <f t="shared" si="6"/>
        <v>-3.2058428311794387</v>
      </c>
    </row>
    <row r="119" spans="1:12" ht="15">
      <c r="A119" s="156"/>
      <c r="B119" s="158"/>
      <c r="C119" s="45" t="s">
        <v>66</v>
      </c>
      <c r="D119" s="53" t="s">
        <v>83</v>
      </c>
      <c r="E119" s="49">
        <f t="shared" si="5"/>
        <v>18.021636401726084</v>
      </c>
      <c r="F119" s="50">
        <f>(1.3808*[2]!HEX2DEC(D119)+513)/0.2453</f>
        <v>6228.650631879332</v>
      </c>
      <c r="G119" s="53">
        <v>258</v>
      </c>
      <c r="H119" s="49">
        <v>26.6</v>
      </c>
      <c r="I119" s="50">
        <f>(1.379*[2]!HEX2DEC(G119)+513)/0.2451</f>
        <v>5468.788249694003</v>
      </c>
      <c r="K119" s="49">
        <f t="shared" si="8"/>
        <v>24.352636347740408</v>
      </c>
      <c r="L119" s="52">
        <f t="shared" si="6"/>
        <v>2.247363652259594</v>
      </c>
    </row>
    <row r="120" spans="1:12" ht="15">
      <c r="A120" s="156"/>
      <c r="B120" s="158"/>
      <c r="C120" s="45" t="s">
        <v>67</v>
      </c>
      <c r="D120" s="53">
        <v>262</v>
      </c>
      <c r="E120" s="49">
        <f t="shared" si="5"/>
        <v>20.951532407876698</v>
      </c>
      <c r="F120" s="50">
        <f>(1.3808*[2]!HEX2DEC(D120)+513)/0.2453</f>
        <v>5525.0224215246635</v>
      </c>
      <c r="G120" s="53">
        <v>263</v>
      </c>
      <c r="H120" s="49">
        <v>26.6</v>
      </c>
      <c r="I120" s="50">
        <f>(1.379*[2]!HEX2DEC(G120)+513)/0.2451</f>
        <v>5530.6772745818025</v>
      </c>
      <c r="K120" s="49">
        <f t="shared" si="8"/>
        <v>27.567650627626104</v>
      </c>
      <c r="L120" s="52">
        <f t="shared" si="6"/>
        <v>-0.967650627626103</v>
      </c>
    </row>
    <row r="121" spans="1:12" ht="15">
      <c r="A121" s="156"/>
      <c r="B121" s="158"/>
      <c r="C121" s="45" t="s">
        <v>68</v>
      </c>
      <c r="D121" s="64" t="s">
        <v>88</v>
      </c>
      <c r="E121" s="49">
        <f t="shared" si="5"/>
        <v>17.999779279384768</v>
      </c>
      <c r="F121" s="50">
        <f>(1.3808*[2]!HEX2DEC(D121)+513)/0.2453</f>
        <v>6234.27965756217</v>
      </c>
      <c r="G121" s="53">
        <v>263</v>
      </c>
      <c r="H121" s="49">
        <v>26.4</v>
      </c>
      <c r="I121" s="50">
        <f>(1.379*[2]!HEX2DEC(G121)+513)/0.2451</f>
        <v>5530.6772745818025</v>
      </c>
      <c r="K121" s="49">
        <f t="shared" si="8"/>
        <v>27.567650627626104</v>
      </c>
      <c r="L121" s="52">
        <f t="shared" si="6"/>
        <v>-1.1676506276261058</v>
      </c>
    </row>
    <row r="122" spans="1:12" ht="15">
      <c r="A122" s="156"/>
      <c r="B122" s="158"/>
      <c r="C122" s="45" t="s">
        <v>69</v>
      </c>
      <c r="D122" s="53">
        <v>293</v>
      </c>
      <c r="E122" s="49">
        <f t="shared" si="5"/>
        <v>19.753733670155157</v>
      </c>
      <c r="F122" s="50">
        <f>(1.3808*[2]!HEX2DEC(D122)+513)/0.2453</f>
        <v>5800.844679983694</v>
      </c>
      <c r="G122" s="53">
        <v>269</v>
      </c>
      <c r="H122" s="49">
        <v>28.2</v>
      </c>
      <c r="I122" s="50">
        <f>(1.379*[2]!HEX2DEC(G122)+513)/0.2451</f>
        <v>5564.434924520603</v>
      </c>
      <c r="K122" s="49">
        <f t="shared" si="8"/>
        <v>29.32129478029107</v>
      </c>
      <c r="L122" s="52">
        <f t="shared" si="6"/>
        <v>-1.1212947802910698</v>
      </c>
    </row>
    <row r="123" spans="1:12" ht="15">
      <c r="A123" s="156">
        <v>10</v>
      </c>
      <c r="B123" s="157" t="s">
        <v>62</v>
      </c>
      <c r="C123" s="45" t="s">
        <v>64</v>
      </c>
      <c r="D123" s="64" t="s">
        <v>77</v>
      </c>
      <c r="E123" s="49">
        <f t="shared" si="5"/>
        <v>17.956134003579052</v>
      </c>
      <c r="F123" s="50">
        <f>(1.3808*[2]!HEX2DEC(D123)+513)/0.2453</f>
        <v>6245.5377089278445</v>
      </c>
      <c r="G123" s="53" t="s">
        <v>26</v>
      </c>
      <c r="H123" s="49">
        <v>26.7</v>
      </c>
      <c r="I123" s="50">
        <f>(1.379*[2]!HEX2DEC(G123)+513)/0.2451</f>
        <v>5570.061199510404</v>
      </c>
      <c r="K123" s="49">
        <f t="shared" si="8"/>
        <v>29.613568805735255</v>
      </c>
      <c r="L123" s="52">
        <f t="shared" si="6"/>
        <v>-2.913568805735256</v>
      </c>
    </row>
    <row r="124" spans="1:12" ht="15">
      <c r="A124" s="156"/>
      <c r="B124" s="157"/>
      <c r="C124" s="45" t="s">
        <v>65</v>
      </c>
      <c r="D124" s="53" t="s">
        <v>78</v>
      </c>
      <c r="E124" s="49">
        <f t="shared" si="5"/>
        <v>19.28380653781136</v>
      </c>
      <c r="F124" s="50">
        <f>(1.3808*[2]!HEX2DEC(D124)+513)/0.2453</f>
        <v>5913.425193640441</v>
      </c>
      <c r="G124" s="53" t="s">
        <v>20</v>
      </c>
      <c r="H124" s="49">
        <v>28.4</v>
      </c>
      <c r="I124" s="50">
        <f>(1.379*[2]!HEX2DEC(G124)+513)/0.2451</f>
        <v>5491.293349653203</v>
      </c>
      <c r="K124" s="49">
        <f t="shared" si="8"/>
        <v>25.52173244951705</v>
      </c>
      <c r="L124" s="52">
        <f t="shared" si="6"/>
        <v>2.878267550482949</v>
      </c>
    </row>
    <row r="125" spans="1:12" ht="15">
      <c r="A125" s="156"/>
      <c r="B125" s="157"/>
      <c r="C125" s="45" t="s">
        <v>66</v>
      </c>
      <c r="D125" s="53" t="s">
        <v>79</v>
      </c>
      <c r="E125" s="49">
        <f t="shared" si="5"/>
        <v>18.688276776640294</v>
      </c>
      <c r="F125" s="50">
        <f>(1.3808*[2]!HEX2DEC(D125)+513)/0.2453</f>
        <v>6059.779861394211</v>
      </c>
      <c r="G125" s="53">
        <v>267</v>
      </c>
      <c r="H125" s="49">
        <v>29</v>
      </c>
      <c r="I125" s="50">
        <f>(1.379*[2]!HEX2DEC(G125)+513)/0.2451</f>
        <v>5553.182374541004</v>
      </c>
      <c r="K125" s="49">
        <f t="shared" si="8"/>
        <v>28.736746729402796</v>
      </c>
      <c r="L125" s="52">
        <f t="shared" si="6"/>
        <v>0.26325327059720394</v>
      </c>
    </row>
    <row r="126" spans="1:12" ht="15">
      <c r="A126" s="156"/>
      <c r="B126" s="157"/>
      <c r="C126" s="45" t="s">
        <v>67</v>
      </c>
      <c r="D126" s="53" t="s">
        <v>80</v>
      </c>
      <c r="E126" s="49">
        <f t="shared" si="5"/>
        <v>18.241482915598965</v>
      </c>
      <c r="F126" s="50">
        <f>(1.3808*[2]!HEX2DEC(D126)+513)/0.2453</f>
        <v>6172.360375050958</v>
      </c>
      <c r="G126" s="53" t="s">
        <v>26</v>
      </c>
      <c r="H126" s="49">
        <v>27.2</v>
      </c>
      <c r="I126" s="50">
        <f>(1.379*[2]!HEX2DEC(G126)+513)/0.2451</f>
        <v>5570.061199510404</v>
      </c>
      <c r="K126" s="49">
        <f t="shared" si="8"/>
        <v>29.613568805735255</v>
      </c>
      <c r="L126" s="52">
        <f t="shared" si="6"/>
        <v>-2.413568805735256</v>
      </c>
    </row>
    <row r="127" spans="1:12" ht="15">
      <c r="A127" s="156"/>
      <c r="B127" s="157"/>
      <c r="C127" s="45" t="s">
        <v>68</v>
      </c>
      <c r="D127" s="53" t="s">
        <v>81</v>
      </c>
      <c r="E127" s="49">
        <f t="shared" si="5"/>
        <v>18.175284211677308</v>
      </c>
      <c r="F127" s="50">
        <f>(1.3808*[2]!HEX2DEC(D127)+513)/0.2453</f>
        <v>6189.247452099471</v>
      </c>
      <c r="G127" s="53">
        <v>262</v>
      </c>
      <c r="H127" s="49">
        <v>28.1</v>
      </c>
      <c r="I127" s="50">
        <f>(1.379*[2]!HEX2DEC(G127)+513)/0.2451</f>
        <v>5525.050999592003</v>
      </c>
      <c r="K127" s="49">
        <f t="shared" si="8"/>
        <v>27.275376602181968</v>
      </c>
      <c r="L127" s="52">
        <f t="shared" si="6"/>
        <v>0.8246233978180335</v>
      </c>
    </row>
    <row r="128" spans="1:12" ht="15">
      <c r="A128" s="156"/>
      <c r="B128" s="157"/>
      <c r="C128" s="45" t="s">
        <v>69</v>
      </c>
      <c r="D128" s="53" t="s">
        <v>33</v>
      </c>
      <c r="E128" s="49">
        <f t="shared" si="5"/>
        <v>21.128337611781376</v>
      </c>
      <c r="F128" s="50">
        <f>(1.3808*[2]!HEX2DEC(D128)+513)/0.2453</f>
        <v>5485.619241744803</v>
      </c>
      <c r="G128" s="53">
        <v>252</v>
      </c>
      <c r="H128" s="49">
        <v>27.6</v>
      </c>
      <c r="I128" s="50">
        <f>(1.379*[2]!HEX2DEC(G128)+513)/0.2451</f>
        <v>5435.030599755201</v>
      </c>
      <c r="K128" s="49">
        <f t="shared" si="8"/>
        <v>22.598992195075397</v>
      </c>
      <c r="L128" s="52">
        <f t="shared" si="6"/>
        <v>5.001007804924605</v>
      </c>
    </row>
    <row r="129" spans="1:12" ht="15">
      <c r="A129" s="156"/>
      <c r="B129" s="158" t="s">
        <v>61</v>
      </c>
      <c r="C129" s="45" t="s">
        <v>64</v>
      </c>
      <c r="D129" s="53">
        <v>301</v>
      </c>
      <c r="E129" s="49">
        <f t="shared" si="5"/>
        <v>17.291135405174202</v>
      </c>
      <c r="F129" s="50">
        <f>(1.3808*[2]!HEX2DEC(D129)+513)/0.2453</f>
        <v>6420.037505095801</v>
      </c>
      <c r="G129" s="53">
        <v>261</v>
      </c>
      <c r="H129" s="49">
        <v>27.4</v>
      </c>
      <c r="I129" s="50">
        <f>(1.379*[2]!HEX2DEC(G129)+513)/0.2451</f>
        <v>5519.424724602203</v>
      </c>
      <c r="K129" s="49">
        <f t="shared" si="8"/>
        <v>26.98310257673783</v>
      </c>
      <c r="L129" s="52">
        <f t="shared" si="6"/>
        <v>0.41689742326216717</v>
      </c>
    </row>
    <row r="130" spans="1:12" ht="15">
      <c r="A130" s="156"/>
      <c r="B130" s="158"/>
      <c r="C130" s="45" t="s">
        <v>65</v>
      </c>
      <c r="D130" s="53" t="s">
        <v>73</v>
      </c>
      <c r="E130" s="49">
        <f t="shared" si="5"/>
        <v>21.43491114005974</v>
      </c>
      <c r="F130" s="50">
        <f>(1.3808*[2]!HEX2DEC(D130)+513)/0.2453</f>
        <v>5418.0709335507545</v>
      </c>
      <c r="G130" s="53" t="s">
        <v>1</v>
      </c>
      <c r="H130" s="49">
        <v>29</v>
      </c>
      <c r="I130" s="50">
        <f>(1.379*[2]!HEX2DEC(G130)+513)/0.2451</f>
        <v>5598.192574459404</v>
      </c>
      <c r="K130" s="49">
        <f t="shared" si="8"/>
        <v>31.074938932956034</v>
      </c>
      <c r="L130" s="52">
        <f t="shared" si="6"/>
        <v>-2.0749389329560337</v>
      </c>
    </row>
    <row r="131" spans="1:12" ht="15">
      <c r="A131" s="156"/>
      <c r="B131" s="158"/>
      <c r="C131" s="45" t="s">
        <v>66</v>
      </c>
      <c r="D131" s="53" t="s">
        <v>14</v>
      </c>
      <c r="E131" s="49">
        <f>(3500/(LN(F131/4700)+11.745))-273</f>
        <v>19.447084333665032</v>
      </c>
      <c r="F131" s="50">
        <f>(1.3808*[2]!HEX2DEC(D131)+513)/0.2453</f>
        <v>5874.022013860579</v>
      </c>
      <c r="G131" s="53" t="s">
        <v>74</v>
      </c>
      <c r="H131" s="49">
        <v>24.9</v>
      </c>
      <c r="I131" s="50">
        <f>(1.379*[2]!HEX2DEC(G131)+513)/0.2451</f>
        <v>5322.5050999592</v>
      </c>
      <c r="K131" s="49">
        <f t="shared" si="8"/>
        <v>16.753511686192226</v>
      </c>
      <c r="L131" s="52">
        <f t="shared" si="6"/>
        <v>8.146488313807772</v>
      </c>
    </row>
    <row r="132" spans="1:12" ht="15">
      <c r="A132" s="156"/>
      <c r="B132" s="158"/>
      <c r="C132" s="45" t="s">
        <v>67</v>
      </c>
      <c r="D132" s="53" t="s">
        <v>75</v>
      </c>
      <c r="E132" s="49">
        <f>(3500/(LN(F132/4700)+11.745))-273</f>
        <v>19.23738884738981</v>
      </c>
      <c r="F132" s="50">
        <f>(1.3808*[2]!HEX2DEC(D132)+513)/0.2453</f>
        <v>5924.683245006115</v>
      </c>
      <c r="G132" s="53" t="s">
        <v>20</v>
      </c>
      <c r="H132" s="49">
        <v>26.6</v>
      </c>
      <c r="I132" s="50">
        <f>(1.379*[2]!HEX2DEC(G132)+513)/0.2451</f>
        <v>5491.293349653203</v>
      </c>
      <c r="K132" s="49">
        <f t="shared" si="8"/>
        <v>25.52173244951705</v>
      </c>
      <c r="L132" s="52">
        <f>H132-K132</f>
        <v>1.078267550482952</v>
      </c>
    </row>
    <row r="133" spans="1:12" ht="15">
      <c r="A133" s="156"/>
      <c r="B133" s="158"/>
      <c r="C133" s="45" t="s">
        <v>68</v>
      </c>
      <c r="D133" s="53" t="s">
        <v>33</v>
      </c>
      <c r="E133" s="49">
        <f>(3500/(LN(F133/4700)+11.745))-273</f>
        <v>21.128337611781376</v>
      </c>
      <c r="F133" s="50">
        <f>(1.3808*[2]!HEX2DEC(D133)+513)/0.2453</f>
        <v>5485.619241744803</v>
      </c>
      <c r="G133" s="53">
        <v>264</v>
      </c>
      <c r="H133" s="49">
        <v>28.3</v>
      </c>
      <c r="I133" s="50">
        <f>(1.379*[2]!HEX2DEC(G133)+513)/0.2451</f>
        <v>5536.303549571602</v>
      </c>
      <c r="K133" s="49">
        <f t="shared" si="8"/>
        <v>27.85992465307024</v>
      </c>
      <c r="L133" s="52">
        <f>H133-K133</f>
        <v>0.4400753469297598</v>
      </c>
    </row>
    <row r="134" spans="1:12" s="59" customFormat="1" ht="15">
      <c r="A134" s="156"/>
      <c r="B134" s="158"/>
      <c r="C134" s="59" t="s">
        <v>69</v>
      </c>
      <c r="D134" s="62"/>
      <c r="E134" s="61"/>
      <c r="F134" s="50"/>
      <c r="G134" s="62"/>
      <c r="H134" s="61"/>
      <c r="I134" s="50"/>
      <c r="J134" s="51"/>
      <c r="K134" s="61"/>
      <c r="L134" s="52"/>
    </row>
    <row r="135" ht="15">
      <c r="B135" s="45"/>
    </row>
    <row r="136" ht="15.75" thickBot="1">
      <c r="B136" s="45"/>
    </row>
    <row r="137" spans="1:7" ht="15.75" thickTop="1">
      <c r="A137" s="159" t="s">
        <v>493</v>
      </c>
      <c r="B137" s="160"/>
      <c r="C137" s="160"/>
      <c r="D137" s="160"/>
      <c r="E137" s="160"/>
      <c r="F137" s="160"/>
      <c r="G137" s="161"/>
    </row>
    <row r="138" spans="1:7" ht="16.5" customHeight="1">
      <c r="A138" s="162"/>
      <c r="B138" s="163"/>
      <c r="C138" s="163"/>
      <c r="D138" s="163"/>
      <c r="E138" s="163"/>
      <c r="F138" s="163"/>
      <c r="G138" s="164"/>
    </row>
    <row r="139" spans="1:7" ht="16.5" thickBot="1">
      <c r="A139" s="87" t="s">
        <v>466</v>
      </c>
      <c r="B139" s="88" t="s">
        <v>465</v>
      </c>
      <c r="C139" s="88" t="s">
        <v>54</v>
      </c>
      <c r="D139" s="89" t="s">
        <v>463</v>
      </c>
      <c r="E139" s="89" t="s">
        <v>464</v>
      </c>
      <c r="F139" s="89" t="s">
        <v>491</v>
      </c>
      <c r="G139" s="90" t="s">
        <v>492</v>
      </c>
    </row>
    <row r="140" spans="1:7" ht="15.75" thickTop="1">
      <c r="A140" s="80">
        <v>-7</v>
      </c>
      <c r="B140" s="42">
        <v>0</v>
      </c>
      <c r="C140" s="76"/>
      <c r="D140" s="86">
        <f>AVERAGE(L3:L133)</f>
        <v>0.015413581814581806</v>
      </c>
      <c r="E140" s="76">
        <f>STDEV(L3:L133)</f>
        <v>2.337064725839079</v>
      </c>
      <c r="F140" s="76">
        <f>MINA(L3:L133)</f>
        <v>-6.6049674927275746</v>
      </c>
      <c r="G140" s="77">
        <f>MAXA(L3:L133)</f>
        <v>8.146488313807772</v>
      </c>
    </row>
    <row r="141" spans="1:7" ht="15">
      <c r="A141" s="80">
        <f>A140+1</f>
        <v>-6</v>
      </c>
      <c r="B141" s="42">
        <v>1</v>
      </c>
      <c r="C141" s="74"/>
      <c r="D141" s="76"/>
      <c r="E141" s="76"/>
      <c r="F141" s="76"/>
      <c r="G141" s="77"/>
    </row>
    <row r="142" spans="1:7" ht="15">
      <c r="A142" s="80">
        <f aca="true" t="shared" si="9" ref="A142:A156">A141+1</f>
        <v>-5</v>
      </c>
      <c r="B142" s="42">
        <v>1</v>
      </c>
      <c r="C142" s="74"/>
      <c r="D142" s="76"/>
      <c r="E142" s="76"/>
      <c r="F142" s="76"/>
      <c r="G142" s="77"/>
    </row>
    <row r="143" spans="1:7" ht="15">
      <c r="A143" s="80">
        <f t="shared" si="9"/>
        <v>-4</v>
      </c>
      <c r="B143" s="42">
        <v>4</v>
      </c>
      <c r="C143" s="74"/>
      <c r="D143" s="76"/>
      <c r="E143" s="76"/>
      <c r="F143" s="76"/>
      <c r="G143" s="77"/>
    </row>
    <row r="144" spans="1:7" ht="15">
      <c r="A144" s="80">
        <f t="shared" si="9"/>
        <v>-3</v>
      </c>
      <c r="B144" s="42">
        <v>6</v>
      </c>
      <c r="C144" s="74"/>
      <c r="D144" s="76"/>
      <c r="E144" s="76"/>
      <c r="F144" s="76"/>
      <c r="G144" s="77"/>
    </row>
    <row r="145" spans="1:7" ht="15">
      <c r="A145" s="80">
        <f t="shared" si="9"/>
        <v>-2</v>
      </c>
      <c r="B145" s="42">
        <v>11</v>
      </c>
      <c r="C145" s="74"/>
      <c r="D145" s="76"/>
      <c r="E145" s="76"/>
      <c r="F145" s="76"/>
      <c r="G145" s="77"/>
    </row>
    <row r="146" spans="1:7" ht="15">
      <c r="A146" s="80">
        <f t="shared" si="9"/>
        <v>-1</v>
      </c>
      <c r="B146" s="42">
        <v>17</v>
      </c>
      <c r="C146" s="74"/>
      <c r="D146" s="76"/>
      <c r="E146" s="76"/>
      <c r="F146" s="76"/>
      <c r="G146" s="77"/>
    </row>
    <row r="147" spans="1:7" ht="15">
      <c r="A147" s="80">
        <f t="shared" si="9"/>
        <v>0</v>
      </c>
      <c r="B147" s="42">
        <v>27</v>
      </c>
      <c r="C147" s="74"/>
      <c r="D147" s="76"/>
      <c r="E147" s="76"/>
      <c r="F147" s="76"/>
      <c r="G147" s="77"/>
    </row>
    <row r="148" spans="1:7" ht="15">
      <c r="A148" s="80">
        <f t="shared" si="9"/>
        <v>1</v>
      </c>
      <c r="B148" s="42">
        <v>18</v>
      </c>
      <c r="C148" s="74"/>
      <c r="D148" s="76"/>
      <c r="E148" s="76"/>
      <c r="F148" s="76"/>
      <c r="G148" s="77"/>
    </row>
    <row r="149" spans="1:7" ht="15">
      <c r="A149" s="80">
        <f t="shared" si="9"/>
        <v>2</v>
      </c>
      <c r="B149" s="42">
        <v>17</v>
      </c>
      <c r="C149" s="74"/>
      <c r="D149" s="76"/>
      <c r="E149" s="76"/>
      <c r="F149" s="76"/>
      <c r="G149" s="77"/>
    </row>
    <row r="150" spans="1:7" ht="15">
      <c r="A150" s="80">
        <f t="shared" si="9"/>
        <v>3</v>
      </c>
      <c r="B150" s="42">
        <v>14</v>
      </c>
      <c r="C150" s="74"/>
      <c r="D150" s="76"/>
      <c r="E150" s="76"/>
      <c r="F150" s="76"/>
      <c r="G150" s="77"/>
    </row>
    <row r="151" spans="1:7" ht="15">
      <c r="A151" s="80">
        <f t="shared" si="9"/>
        <v>4</v>
      </c>
      <c r="B151" s="42">
        <v>5</v>
      </c>
      <c r="C151" s="74"/>
      <c r="D151" s="76"/>
      <c r="E151" s="76"/>
      <c r="F151" s="76"/>
      <c r="G151" s="77"/>
    </row>
    <row r="152" spans="1:7" ht="15">
      <c r="A152" s="80">
        <f t="shared" si="9"/>
        <v>5</v>
      </c>
      <c r="B152" s="42">
        <v>4</v>
      </c>
      <c r="C152" s="76"/>
      <c r="D152" s="76"/>
      <c r="E152" s="76"/>
      <c r="F152" s="76"/>
      <c r="G152" s="77"/>
    </row>
    <row r="153" spans="1:7" ht="15">
      <c r="A153" s="80">
        <f t="shared" si="9"/>
        <v>6</v>
      </c>
      <c r="B153" s="42">
        <v>1</v>
      </c>
      <c r="C153" s="76"/>
      <c r="D153" s="76"/>
      <c r="E153" s="76"/>
      <c r="F153" s="76"/>
      <c r="G153" s="77"/>
    </row>
    <row r="154" spans="1:7" ht="15">
      <c r="A154" s="80">
        <f t="shared" si="9"/>
        <v>7</v>
      </c>
      <c r="B154" s="42">
        <v>0</v>
      </c>
      <c r="C154" s="76"/>
      <c r="D154" s="76"/>
      <c r="E154" s="76"/>
      <c r="F154" s="76"/>
      <c r="G154" s="77"/>
    </row>
    <row r="155" spans="1:7" ht="15">
      <c r="A155" s="80">
        <f t="shared" si="9"/>
        <v>8</v>
      </c>
      <c r="B155" s="42">
        <v>0</v>
      </c>
      <c r="C155" s="76"/>
      <c r="D155" s="76"/>
      <c r="E155" s="76"/>
      <c r="F155" s="76"/>
      <c r="G155" s="77"/>
    </row>
    <row r="156" spans="1:7" ht="15.75" thickBot="1">
      <c r="A156" s="81">
        <f t="shared" si="9"/>
        <v>9</v>
      </c>
      <c r="B156" s="42">
        <v>1</v>
      </c>
      <c r="C156" s="78"/>
      <c r="D156" s="78"/>
      <c r="E156" s="78"/>
      <c r="F156" s="78"/>
      <c r="G156" s="79"/>
    </row>
    <row r="157" spans="1:7" ht="15.75" thickTop="1">
      <c r="A157" s="73"/>
      <c r="B157" s="74"/>
      <c r="C157" s="76"/>
      <c r="D157" s="76"/>
      <c r="E157" s="76"/>
      <c r="F157" s="76"/>
      <c r="G157" s="76"/>
    </row>
    <row r="158" spans="1:7" ht="15">
      <c r="A158" s="73"/>
      <c r="B158" s="74"/>
      <c r="C158" s="76"/>
      <c r="D158" s="76"/>
      <c r="E158" s="76"/>
      <c r="F158" s="76"/>
      <c r="G158" s="76"/>
    </row>
    <row r="159" spans="1:7" ht="15">
      <c r="A159" s="73"/>
      <c r="B159" s="74"/>
      <c r="C159" s="76"/>
      <c r="D159" s="76"/>
      <c r="E159" s="76"/>
      <c r="F159" s="76"/>
      <c r="G159" s="76"/>
    </row>
    <row r="160" spans="1:7" ht="15">
      <c r="A160" s="73"/>
      <c r="B160" s="74"/>
      <c r="C160" s="76"/>
      <c r="D160" s="76"/>
      <c r="E160" s="76"/>
      <c r="F160" s="76"/>
      <c r="G160" s="76"/>
    </row>
    <row r="161" spans="1:7" ht="15">
      <c r="A161" s="73"/>
      <c r="B161" s="74"/>
      <c r="C161" s="76"/>
      <c r="D161" s="76"/>
      <c r="E161" s="76"/>
      <c r="F161" s="76"/>
      <c r="G161" s="76"/>
    </row>
    <row r="162" spans="1:7" ht="15">
      <c r="A162" s="73"/>
      <c r="B162" s="74"/>
      <c r="C162" s="76"/>
      <c r="D162" s="76"/>
      <c r="E162" s="76"/>
      <c r="F162" s="76"/>
      <c r="G162" s="76"/>
    </row>
    <row r="163" spans="1:7" ht="15">
      <c r="A163" s="73"/>
      <c r="B163" s="74"/>
      <c r="C163" s="76"/>
      <c r="D163" s="76"/>
      <c r="E163" s="76"/>
      <c r="F163" s="76"/>
      <c r="G163" s="76"/>
    </row>
    <row r="164" spans="1:7" ht="15">
      <c r="A164" s="73"/>
      <c r="B164" s="74"/>
      <c r="C164" s="76"/>
      <c r="D164" s="76"/>
      <c r="E164" s="76"/>
      <c r="F164" s="76"/>
      <c r="G164" s="76"/>
    </row>
    <row r="165" spans="1:7" ht="15">
      <c r="A165" s="73"/>
      <c r="B165" s="74"/>
      <c r="C165" s="76"/>
      <c r="D165" s="76"/>
      <c r="E165" s="76"/>
      <c r="F165" s="76"/>
      <c r="G165" s="76"/>
    </row>
    <row r="166" spans="1:7" ht="15">
      <c r="A166" s="73"/>
      <c r="B166" s="74"/>
      <c r="C166" s="76"/>
      <c r="D166" s="76"/>
      <c r="E166" s="76"/>
      <c r="F166" s="76"/>
      <c r="G166" s="76"/>
    </row>
    <row r="167" spans="1:7" ht="15">
      <c r="A167" s="73"/>
      <c r="B167" s="74"/>
      <c r="C167" s="76"/>
      <c r="D167" s="76"/>
      <c r="E167" s="76"/>
      <c r="F167" s="76"/>
      <c r="G167" s="76"/>
    </row>
    <row r="168" spans="1:7" ht="15">
      <c r="A168" s="73"/>
      <c r="B168" s="74"/>
      <c r="C168" s="76"/>
      <c r="D168" s="76"/>
      <c r="E168" s="76"/>
      <c r="F168" s="76"/>
      <c r="G168" s="76"/>
    </row>
    <row r="169" spans="1:7" ht="15">
      <c r="A169" s="73"/>
      <c r="B169" s="74"/>
      <c r="C169" s="76"/>
      <c r="D169" s="76"/>
      <c r="E169" s="76"/>
      <c r="F169" s="76"/>
      <c r="G169" s="76"/>
    </row>
    <row r="170" spans="1:7" ht="15">
      <c r="A170" s="73"/>
      <c r="B170" s="74"/>
      <c r="C170" s="76"/>
      <c r="D170" s="76"/>
      <c r="E170" s="76"/>
      <c r="F170" s="76"/>
      <c r="G170" s="76"/>
    </row>
    <row r="171" spans="1:7" ht="15">
      <c r="A171" s="73"/>
      <c r="B171" s="74"/>
      <c r="C171" s="76"/>
      <c r="D171" s="76"/>
      <c r="E171" s="76"/>
      <c r="F171" s="76"/>
      <c r="G171" s="76"/>
    </row>
    <row r="172" spans="1:7" ht="15">
      <c r="A172" s="73"/>
      <c r="B172" s="74"/>
      <c r="C172" s="76"/>
      <c r="D172" s="76"/>
      <c r="E172" s="76"/>
      <c r="F172" s="76"/>
      <c r="G172" s="76"/>
    </row>
    <row r="173" spans="1:7" ht="15">
      <c r="A173" s="73"/>
      <c r="B173" s="74"/>
      <c r="C173" s="76"/>
      <c r="D173" s="76"/>
      <c r="E173" s="76"/>
      <c r="F173" s="76"/>
      <c r="G173" s="76"/>
    </row>
    <row r="174" spans="1:7" ht="15">
      <c r="A174" s="73"/>
      <c r="B174" s="74"/>
      <c r="C174" s="76"/>
      <c r="D174" s="76"/>
      <c r="E174" s="76"/>
      <c r="F174" s="76"/>
      <c r="G174" s="76"/>
    </row>
    <row r="175" spans="1:7" ht="15">
      <c r="A175" s="73"/>
      <c r="B175" s="74"/>
      <c r="C175" s="76"/>
      <c r="D175" s="76"/>
      <c r="E175" s="76"/>
      <c r="F175" s="76"/>
      <c r="G175" s="76"/>
    </row>
    <row r="176" spans="1:7" ht="15">
      <c r="A176" s="73"/>
      <c r="B176" s="74"/>
      <c r="C176" s="76"/>
      <c r="D176" s="76"/>
      <c r="E176" s="76"/>
      <c r="F176" s="76"/>
      <c r="G176" s="76"/>
    </row>
    <row r="177" spans="1:7" ht="15">
      <c r="A177" s="73"/>
      <c r="B177" s="74"/>
      <c r="C177" s="76"/>
      <c r="D177" s="76"/>
      <c r="E177" s="76"/>
      <c r="F177" s="76"/>
      <c r="G177" s="76"/>
    </row>
    <row r="178" spans="1:7" ht="15">
      <c r="A178" s="73"/>
      <c r="B178" s="74"/>
      <c r="C178" s="76"/>
      <c r="D178" s="76"/>
      <c r="E178" s="76"/>
      <c r="F178" s="76"/>
      <c r="G178" s="76"/>
    </row>
    <row r="179" spans="1:7" ht="15">
      <c r="A179" s="73"/>
      <c r="B179" s="74"/>
      <c r="C179" s="76"/>
      <c r="D179" s="76"/>
      <c r="E179" s="76"/>
      <c r="F179" s="76"/>
      <c r="G179" s="76"/>
    </row>
    <row r="180" spans="1:7" ht="15">
      <c r="A180" s="73"/>
      <c r="B180" s="74"/>
      <c r="C180" s="76"/>
      <c r="D180" s="76"/>
      <c r="E180" s="76"/>
      <c r="F180" s="76"/>
      <c r="G180" s="76"/>
    </row>
    <row r="181" spans="1:7" ht="15">
      <c r="A181" s="73"/>
      <c r="B181" s="74"/>
      <c r="C181" s="76"/>
      <c r="D181" s="76"/>
      <c r="E181" s="76"/>
      <c r="F181" s="76"/>
      <c r="G181" s="76"/>
    </row>
    <row r="182" spans="1:7" ht="15">
      <c r="A182" s="73"/>
      <c r="B182" s="74"/>
      <c r="C182" s="76"/>
      <c r="D182" s="76"/>
      <c r="E182" s="76"/>
      <c r="F182" s="76"/>
      <c r="G182" s="76"/>
    </row>
    <row r="183" spans="1:7" ht="15">
      <c r="A183" s="73"/>
      <c r="B183" s="74"/>
      <c r="C183" s="76"/>
      <c r="D183" s="76"/>
      <c r="E183" s="76"/>
      <c r="F183" s="76"/>
      <c r="G183" s="76"/>
    </row>
    <row r="184" spans="1:7" ht="15">
      <c r="A184" s="73"/>
      <c r="B184" s="74"/>
      <c r="C184" s="76"/>
      <c r="D184" s="76"/>
      <c r="E184" s="76"/>
      <c r="F184" s="76"/>
      <c r="G184" s="76"/>
    </row>
    <row r="185" spans="1:7" ht="15">
      <c r="A185" s="73"/>
      <c r="B185" s="74"/>
      <c r="C185" s="76"/>
      <c r="D185" s="76"/>
      <c r="E185" s="76"/>
      <c r="F185" s="76"/>
      <c r="G185" s="76"/>
    </row>
    <row r="186" spans="1:7" ht="15">
      <c r="A186" s="73"/>
      <c r="B186" s="74"/>
      <c r="C186" s="76"/>
      <c r="D186" s="76"/>
      <c r="E186" s="76"/>
      <c r="F186" s="76"/>
      <c r="G186" s="76"/>
    </row>
    <row r="187" spans="1:7" ht="15">
      <c r="A187" s="73"/>
      <c r="B187" s="74"/>
      <c r="C187" s="76"/>
      <c r="D187" s="76"/>
      <c r="E187" s="76"/>
      <c r="F187" s="76"/>
      <c r="G187" s="76"/>
    </row>
    <row r="188" spans="1:7" ht="15">
      <c r="A188" s="73"/>
      <c r="B188" s="74"/>
      <c r="C188" s="76"/>
      <c r="D188" s="76"/>
      <c r="E188" s="76"/>
      <c r="F188" s="76"/>
      <c r="G188" s="76"/>
    </row>
    <row r="189" spans="1:7" ht="15">
      <c r="A189" s="73"/>
      <c r="B189" s="74"/>
      <c r="C189" s="76"/>
      <c r="D189" s="76"/>
      <c r="E189" s="76"/>
      <c r="F189" s="76"/>
      <c r="G189" s="76"/>
    </row>
    <row r="190" spans="1:7" ht="15">
      <c r="A190" s="73"/>
      <c r="B190" s="74"/>
      <c r="C190" s="76"/>
      <c r="D190" s="76"/>
      <c r="E190" s="76"/>
      <c r="F190" s="76"/>
      <c r="G190" s="76"/>
    </row>
    <row r="191" spans="1:7" ht="15">
      <c r="A191" s="73"/>
      <c r="B191" s="74"/>
      <c r="C191" s="76"/>
      <c r="D191" s="76"/>
      <c r="E191" s="76"/>
      <c r="F191" s="76"/>
      <c r="G191" s="76"/>
    </row>
    <row r="192" spans="1:7" ht="15">
      <c r="A192" s="73"/>
      <c r="B192" s="74"/>
      <c r="C192" s="76"/>
      <c r="D192" s="76"/>
      <c r="E192" s="76"/>
      <c r="F192" s="76"/>
      <c r="G192" s="76"/>
    </row>
    <row r="193" spans="1:7" ht="15">
      <c r="A193" s="73"/>
      <c r="B193" s="74"/>
      <c r="C193" s="76"/>
      <c r="D193" s="76"/>
      <c r="E193" s="76"/>
      <c r="F193" s="76"/>
      <c r="G193" s="76"/>
    </row>
    <row r="194" spans="1:7" ht="15">
      <c r="A194" s="73"/>
      <c r="B194" s="74"/>
      <c r="C194" s="76"/>
      <c r="D194" s="76"/>
      <c r="E194" s="76"/>
      <c r="F194" s="76"/>
      <c r="G194" s="76"/>
    </row>
    <row r="195" spans="1:7" ht="15">
      <c r="A195" s="73"/>
      <c r="B195" s="74"/>
      <c r="C195" s="76"/>
      <c r="D195" s="76"/>
      <c r="E195" s="76"/>
      <c r="F195" s="76"/>
      <c r="G195" s="76"/>
    </row>
    <row r="196" spans="1:7" ht="15">
      <c r="A196" s="73"/>
      <c r="B196" s="74"/>
      <c r="C196" s="76"/>
      <c r="D196" s="76"/>
      <c r="E196" s="76"/>
      <c r="F196" s="76"/>
      <c r="G196" s="76"/>
    </row>
    <row r="197" spans="1:7" ht="15">
      <c r="A197" s="73"/>
      <c r="B197" s="74"/>
      <c r="C197" s="76"/>
      <c r="D197" s="76"/>
      <c r="E197" s="76"/>
      <c r="F197" s="76"/>
      <c r="G197" s="76"/>
    </row>
    <row r="198" spans="1:7" ht="15">
      <c r="A198" s="73"/>
      <c r="B198" s="74"/>
      <c r="C198" s="76"/>
      <c r="D198" s="76"/>
      <c r="E198" s="76"/>
      <c r="F198" s="76"/>
      <c r="G198" s="76"/>
    </row>
    <row r="199" spans="1:7" ht="15">
      <c r="A199" s="73"/>
      <c r="B199" s="74"/>
      <c r="C199" s="76"/>
      <c r="D199" s="76"/>
      <c r="E199" s="76"/>
      <c r="F199" s="76"/>
      <c r="G199" s="76"/>
    </row>
    <row r="200" spans="1:7" ht="15">
      <c r="A200" s="73"/>
      <c r="B200" s="74"/>
      <c r="C200" s="76"/>
      <c r="D200" s="76"/>
      <c r="E200" s="76"/>
      <c r="F200" s="76"/>
      <c r="G200" s="76"/>
    </row>
    <row r="201" spans="1:7" ht="15">
      <c r="A201" s="73"/>
      <c r="B201" s="74"/>
      <c r="C201" s="76"/>
      <c r="D201" s="76"/>
      <c r="E201" s="76"/>
      <c r="F201" s="76"/>
      <c r="G201" s="76"/>
    </row>
    <row r="202" spans="1:7" ht="15">
      <c r="A202" s="73"/>
      <c r="B202" s="74"/>
      <c r="C202" s="76"/>
      <c r="D202" s="76"/>
      <c r="E202" s="76"/>
      <c r="F202" s="76"/>
      <c r="G202" s="76"/>
    </row>
    <row r="203" spans="1:7" ht="15">
      <c r="A203" s="73"/>
      <c r="B203" s="74"/>
      <c r="C203" s="76"/>
      <c r="D203" s="76"/>
      <c r="E203" s="76"/>
      <c r="F203" s="76"/>
      <c r="G203" s="76"/>
    </row>
    <row r="204" spans="1:7" ht="15">
      <c r="A204" s="73"/>
      <c r="B204" s="74"/>
      <c r="C204" s="76"/>
      <c r="D204" s="76"/>
      <c r="E204" s="76"/>
      <c r="F204" s="76"/>
      <c r="G204" s="76"/>
    </row>
    <row r="205" spans="1:7" ht="15">
      <c r="A205" s="73"/>
      <c r="B205" s="74"/>
      <c r="C205" s="76"/>
      <c r="D205" s="76"/>
      <c r="E205" s="76"/>
      <c r="F205" s="76"/>
      <c r="G205" s="76"/>
    </row>
    <row r="206" spans="1:7" ht="15">
      <c r="A206" s="73"/>
      <c r="B206" s="74"/>
      <c r="C206" s="76"/>
      <c r="D206" s="76"/>
      <c r="E206" s="76"/>
      <c r="F206" s="76"/>
      <c r="G206" s="76"/>
    </row>
    <row r="207" spans="1:7" ht="15">
      <c r="A207" s="73"/>
      <c r="B207" s="74"/>
      <c r="C207" s="76"/>
      <c r="D207" s="76"/>
      <c r="E207" s="76"/>
      <c r="F207" s="76"/>
      <c r="G207" s="76"/>
    </row>
    <row r="208" spans="1:7" ht="15">
      <c r="A208" s="73"/>
      <c r="B208" s="74"/>
      <c r="C208" s="76"/>
      <c r="D208" s="76"/>
      <c r="E208" s="76"/>
      <c r="F208" s="76"/>
      <c r="G208" s="76"/>
    </row>
    <row r="209" spans="1:7" ht="15">
      <c r="A209" s="73"/>
      <c r="B209" s="74"/>
      <c r="C209" s="76"/>
      <c r="D209" s="76"/>
      <c r="E209" s="76"/>
      <c r="F209" s="76"/>
      <c r="G209" s="76"/>
    </row>
    <row r="210" spans="1:7" ht="15">
      <c r="A210" s="73"/>
      <c r="B210" s="74"/>
      <c r="C210" s="76"/>
      <c r="D210" s="76"/>
      <c r="E210" s="76"/>
      <c r="F210" s="76"/>
      <c r="G210" s="76"/>
    </row>
    <row r="211" spans="1:7" ht="15">
      <c r="A211" s="73"/>
      <c r="B211" s="74"/>
      <c r="C211" s="76"/>
      <c r="D211" s="76"/>
      <c r="E211" s="76"/>
      <c r="F211" s="76"/>
      <c r="G211" s="76"/>
    </row>
    <row r="212" spans="1:7" ht="15">
      <c r="A212" s="73"/>
      <c r="B212" s="74"/>
      <c r="C212" s="76"/>
      <c r="D212" s="76"/>
      <c r="E212" s="76"/>
      <c r="F212" s="76"/>
      <c r="G212" s="76"/>
    </row>
    <row r="213" spans="1:7" ht="15">
      <c r="A213" s="73"/>
      <c r="B213" s="74"/>
      <c r="C213" s="76"/>
      <c r="D213" s="76"/>
      <c r="E213" s="76"/>
      <c r="F213" s="76"/>
      <c r="G213" s="76"/>
    </row>
    <row r="214" spans="1:7" ht="15">
      <c r="A214" s="73"/>
      <c r="B214" s="74"/>
      <c r="C214" s="76"/>
      <c r="D214" s="76"/>
      <c r="E214" s="76"/>
      <c r="F214" s="76"/>
      <c r="G214" s="76"/>
    </row>
    <row r="215" spans="1:7" ht="15">
      <c r="A215" s="73"/>
      <c r="B215" s="74"/>
      <c r="C215" s="76"/>
      <c r="D215" s="76"/>
      <c r="E215" s="76"/>
      <c r="F215" s="76"/>
      <c r="G215" s="76"/>
    </row>
    <row r="216" spans="1:7" ht="15">
      <c r="A216" s="73"/>
      <c r="B216" s="74"/>
      <c r="C216" s="76"/>
      <c r="D216" s="76"/>
      <c r="E216" s="76"/>
      <c r="F216" s="76"/>
      <c r="G216" s="76"/>
    </row>
    <row r="217" spans="1:7" ht="15">
      <c r="A217" s="73"/>
      <c r="B217" s="74"/>
      <c r="C217" s="76"/>
      <c r="D217" s="76"/>
      <c r="E217" s="76"/>
      <c r="F217" s="76"/>
      <c r="G217" s="76"/>
    </row>
    <row r="218" spans="1:7" ht="15">
      <c r="A218" s="73"/>
      <c r="B218" s="74"/>
      <c r="C218" s="76"/>
      <c r="D218" s="76"/>
      <c r="E218" s="76"/>
      <c r="F218" s="76"/>
      <c r="G218" s="76"/>
    </row>
    <row r="219" spans="1:7" ht="15">
      <c r="A219" s="73"/>
      <c r="B219" s="74"/>
      <c r="C219" s="76"/>
      <c r="D219" s="76"/>
      <c r="E219" s="76"/>
      <c r="F219" s="76"/>
      <c r="G219" s="76"/>
    </row>
    <row r="220" spans="1:7" ht="15">
      <c r="A220" s="73"/>
      <c r="B220" s="74"/>
      <c r="C220" s="76"/>
      <c r="D220" s="76"/>
      <c r="E220" s="76"/>
      <c r="F220" s="76"/>
      <c r="G220" s="76"/>
    </row>
    <row r="221" spans="1:7" ht="15">
      <c r="A221" s="73"/>
      <c r="B221" s="74"/>
      <c r="C221" s="76"/>
      <c r="D221" s="76"/>
      <c r="E221" s="76"/>
      <c r="F221" s="76"/>
      <c r="G221" s="76"/>
    </row>
    <row r="222" spans="1:7" ht="15">
      <c r="A222" s="73"/>
      <c r="B222" s="74"/>
      <c r="C222" s="76"/>
      <c r="D222" s="76"/>
      <c r="E222" s="76"/>
      <c r="F222" s="76"/>
      <c r="G222" s="76"/>
    </row>
    <row r="223" spans="1:7" ht="15">
      <c r="A223" s="73"/>
      <c r="B223" s="74"/>
      <c r="C223" s="76"/>
      <c r="D223" s="76"/>
      <c r="E223" s="76"/>
      <c r="F223" s="76"/>
      <c r="G223" s="76"/>
    </row>
    <row r="224" spans="1:7" ht="15">
      <c r="A224" s="73"/>
      <c r="B224" s="74"/>
      <c r="C224" s="76"/>
      <c r="D224" s="76"/>
      <c r="E224" s="76"/>
      <c r="F224" s="76"/>
      <c r="G224" s="76"/>
    </row>
    <row r="225" spans="1:7" ht="15">
      <c r="A225" s="73"/>
      <c r="B225" s="74"/>
      <c r="C225" s="76"/>
      <c r="D225" s="76"/>
      <c r="E225" s="76"/>
      <c r="F225" s="76"/>
      <c r="G225" s="76"/>
    </row>
    <row r="226" spans="1:7" ht="15">
      <c r="A226" s="73"/>
      <c r="B226" s="74"/>
      <c r="C226" s="76"/>
      <c r="D226" s="76"/>
      <c r="E226" s="76"/>
      <c r="F226" s="76"/>
      <c r="G226" s="76"/>
    </row>
    <row r="227" spans="1:7" ht="15">
      <c r="A227" s="73"/>
      <c r="B227" s="74"/>
      <c r="C227" s="76"/>
      <c r="D227" s="76"/>
      <c r="E227" s="76"/>
      <c r="F227" s="76"/>
      <c r="G227" s="76"/>
    </row>
    <row r="228" spans="1:7" ht="15">
      <c r="A228" s="73"/>
      <c r="B228" s="74"/>
      <c r="C228" s="76"/>
      <c r="D228" s="76"/>
      <c r="E228" s="76"/>
      <c r="F228" s="76"/>
      <c r="G228" s="76"/>
    </row>
    <row r="229" spans="1:7" ht="15">
      <c r="A229" s="73"/>
      <c r="B229" s="74"/>
      <c r="C229" s="76"/>
      <c r="D229" s="76"/>
      <c r="E229" s="76"/>
      <c r="F229" s="76"/>
      <c r="G229" s="76"/>
    </row>
    <row r="230" spans="1:7" ht="15">
      <c r="A230" s="73"/>
      <c r="B230" s="74"/>
      <c r="C230" s="76"/>
      <c r="D230" s="76"/>
      <c r="E230" s="76"/>
      <c r="F230" s="76"/>
      <c r="G230" s="76"/>
    </row>
    <row r="231" spans="1:7" ht="15">
      <c r="A231" s="73"/>
      <c r="B231" s="74"/>
      <c r="C231" s="76"/>
      <c r="D231" s="76"/>
      <c r="E231" s="76"/>
      <c r="F231" s="76"/>
      <c r="G231" s="76"/>
    </row>
    <row r="232" spans="1:7" ht="15">
      <c r="A232" s="73"/>
      <c r="B232" s="74"/>
      <c r="C232" s="76"/>
      <c r="D232" s="76"/>
      <c r="E232" s="76"/>
      <c r="F232" s="76"/>
      <c r="G232" s="76"/>
    </row>
    <row r="233" spans="1:7" ht="15">
      <c r="A233" s="73"/>
      <c r="B233" s="74"/>
      <c r="C233" s="76"/>
      <c r="D233" s="76"/>
      <c r="E233" s="76"/>
      <c r="F233" s="76"/>
      <c r="G233" s="76"/>
    </row>
    <row r="234" ht="15">
      <c r="B234" s="45"/>
    </row>
    <row r="235" ht="15">
      <c r="B235" s="45"/>
    </row>
    <row r="236" ht="15">
      <c r="B236" s="45"/>
    </row>
    <row r="237" ht="15">
      <c r="B237" s="45"/>
    </row>
    <row r="238" ht="15">
      <c r="B238" s="45"/>
    </row>
    <row r="239" ht="15">
      <c r="B239" s="45"/>
    </row>
    <row r="240" ht="15">
      <c r="B240" s="45"/>
    </row>
    <row r="241" ht="15">
      <c r="B241" s="45"/>
    </row>
    <row r="242" ht="15">
      <c r="B242" s="45"/>
    </row>
    <row r="243" ht="15">
      <c r="B243" s="45"/>
    </row>
    <row r="244" ht="15">
      <c r="B244" s="45"/>
    </row>
    <row r="245" ht="15">
      <c r="B245" s="45"/>
    </row>
    <row r="246" ht="15">
      <c r="B246" s="45"/>
    </row>
    <row r="247" ht="15">
      <c r="B247" s="45"/>
    </row>
    <row r="248" ht="15">
      <c r="B248" s="45"/>
    </row>
    <row r="249" ht="15">
      <c r="B249" s="45"/>
    </row>
    <row r="250" ht="15">
      <c r="B250" s="45"/>
    </row>
    <row r="251" ht="15">
      <c r="B251" s="45"/>
    </row>
    <row r="252" ht="15">
      <c r="B252" s="45"/>
    </row>
    <row r="253" ht="15">
      <c r="B253" s="45"/>
    </row>
    <row r="254" ht="15">
      <c r="B254" s="45"/>
    </row>
    <row r="255" ht="15">
      <c r="B255" s="45"/>
    </row>
    <row r="256" ht="15">
      <c r="B256" s="45"/>
    </row>
    <row r="257" ht="15">
      <c r="B257" s="45"/>
    </row>
    <row r="258" ht="15">
      <c r="B258" s="45"/>
    </row>
    <row r="259" ht="15">
      <c r="B259" s="45"/>
    </row>
    <row r="260" ht="15">
      <c r="B260" s="45"/>
    </row>
    <row r="261" ht="15">
      <c r="B261" s="45"/>
    </row>
    <row r="262" ht="15">
      <c r="B262" s="45"/>
    </row>
    <row r="263" ht="15">
      <c r="B263" s="45"/>
    </row>
    <row r="264" ht="15">
      <c r="B264" s="45"/>
    </row>
    <row r="265" ht="15">
      <c r="B265" s="45"/>
    </row>
    <row r="266" ht="15">
      <c r="B266" s="45"/>
    </row>
    <row r="267" ht="15">
      <c r="B267" s="45"/>
    </row>
    <row r="268" ht="15">
      <c r="B268" s="45"/>
    </row>
    <row r="269" ht="15">
      <c r="B269" s="45"/>
    </row>
    <row r="270" ht="15">
      <c r="B270" s="45"/>
    </row>
    <row r="271" ht="15">
      <c r="B271" s="45"/>
    </row>
    <row r="272" ht="15">
      <c r="B272" s="45"/>
    </row>
    <row r="273" ht="15">
      <c r="B273" s="45"/>
    </row>
    <row r="274" ht="15">
      <c r="B274" s="45"/>
    </row>
    <row r="275" ht="15">
      <c r="B275" s="45"/>
    </row>
    <row r="276" ht="15">
      <c r="B276" s="45"/>
    </row>
    <row r="277" ht="15">
      <c r="B277" s="45"/>
    </row>
    <row r="278" ht="15">
      <c r="B278" s="45"/>
    </row>
    <row r="279" ht="15">
      <c r="B279" s="45"/>
    </row>
    <row r="280" ht="15">
      <c r="B280" s="45"/>
    </row>
    <row r="281" ht="15">
      <c r="B281" s="45"/>
    </row>
    <row r="282" ht="15">
      <c r="B282" s="45"/>
    </row>
  </sheetData>
  <mergeCells count="44">
    <mergeCell ref="A137:G138"/>
    <mergeCell ref="A123:A134"/>
    <mergeCell ref="B123:B128"/>
    <mergeCell ref="B129:B134"/>
    <mergeCell ref="A99:A110"/>
    <mergeCell ref="B99:B104"/>
    <mergeCell ref="B105:B110"/>
    <mergeCell ref="A111:A122"/>
    <mergeCell ref="B111:B116"/>
    <mergeCell ref="B117:B122"/>
    <mergeCell ref="A75:A86"/>
    <mergeCell ref="B75:B80"/>
    <mergeCell ref="B81:B86"/>
    <mergeCell ref="A87:A98"/>
    <mergeCell ref="B87:B92"/>
    <mergeCell ref="B93:B98"/>
    <mergeCell ref="A51:A62"/>
    <mergeCell ref="B51:B56"/>
    <mergeCell ref="B57:B62"/>
    <mergeCell ref="A63:A74"/>
    <mergeCell ref="B63:B68"/>
    <mergeCell ref="B69:B74"/>
    <mergeCell ref="A27:A38"/>
    <mergeCell ref="B27:B32"/>
    <mergeCell ref="B33:B38"/>
    <mergeCell ref="A39:A50"/>
    <mergeCell ref="B39:B44"/>
    <mergeCell ref="B45:B50"/>
    <mergeCell ref="D1:D2"/>
    <mergeCell ref="E1:E2"/>
    <mergeCell ref="F1:F2"/>
    <mergeCell ref="A15:A26"/>
    <mergeCell ref="B15:B20"/>
    <mergeCell ref="B21:B26"/>
    <mergeCell ref="A3:A14"/>
    <mergeCell ref="B3:B8"/>
    <mergeCell ref="B9:B14"/>
    <mergeCell ref="A1:C1"/>
    <mergeCell ref="L1:L2"/>
    <mergeCell ref="G1:G2"/>
    <mergeCell ref="H1:H2"/>
    <mergeCell ref="I1:I2"/>
    <mergeCell ref="J1:J2"/>
    <mergeCell ref="K1:K2"/>
  </mergeCells>
  <hyperlinks>
    <hyperlink ref="D1:D2" location="Comments!A1" display="Comments!A1"/>
    <hyperlink ref="G1:G2" location="Comments!A1" display="Comments!A1"/>
    <hyperlink ref="H1:H2" location="Comments!A1" display="Comments!A1"/>
    <hyperlink ref="F1:F2" location="Comments!A1" display="RMCM Router [Ω] "/>
    <hyperlink ref="I1:I2" location="Comments!A1" display="RBUS Router [Ω]"/>
    <hyperlink ref="J1:J2" location="Comments!A1" display="IAPILOT [mA] "/>
    <hyperlink ref="K1:K2" location="Comments!A1" display="TBUS Router [°C]"/>
    <hyperlink ref="E1:E2" location="Comments!A1" display="T MCM Router [°C]"/>
  </hyperlink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H1">
      <selection activeCell="Q9" sqref="Q9"/>
    </sheetView>
  </sheetViews>
  <sheetFormatPr defaultColWidth="9.140625" defaultRowHeight="12.75"/>
  <cols>
    <col min="1" max="1" width="13.140625" style="44" bestFit="1" customWidth="1"/>
    <col min="2" max="2" width="7.57421875" style="44" bestFit="1" customWidth="1"/>
    <col min="3" max="3" width="13.7109375" style="44" bestFit="1" customWidth="1"/>
    <col min="4" max="4" width="16.140625" style="44" bestFit="1" customWidth="1"/>
    <col min="5" max="5" width="21.7109375" style="106" customWidth="1"/>
    <col min="6" max="6" width="21.8515625" style="107" customWidth="1"/>
    <col min="7" max="7" width="31.7109375" style="107" customWidth="1"/>
    <col min="8" max="8" width="17.7109375" style="106" customWidth="1"/>
    <col min="9" max="9" width="18.00390625" style="44" customWidth="1"/>
    <col min="10" max="10" width="9.140625" style="44" customWidth="1"/>
    <col min="11" max="11" width="23.57421875" style="106" customWidth="1"/>
    <col min="12" max="12" width="18.421875" style="106" customWidth="1"/>
    <col min="13" max="13" width="18.8515625" style="44" customWidth="1"/>
    <col min="14" max="14" width="18.7109375" style="44" customWidth="1"/>
    <col min="15" max="16384" width="9.140625" style="44" customWidth="1"/>
  </cols>
  <sheetData>
    <row r="1" spans="1:14" s="100" customFormat="1" ht="12.75" customHeight="1">
      <c r="A1" s="93" t="s">
        <v>461</v>
      </c>
      <c r="B1" s="94" t="s">
        <v>460</v>
      </c>
      <c r="C1" s="94" t="s">
        <v>459</v>
      </c>
      <c r="D1" s="94" t="s">
        <v>458</v>
      </c>
      <c r="E1" s="95" t="s">
        <v>117</v>
      </c>
      <c r="F1" s="96" t="s">
        <v>116</v>
      </c>
      <c r="G1" s="96" t="s">
        <v>115</v>
      </c>
      <c r="H1" s="95" t="s">
        <v>114</v>
      </c>
      <c r="I1" s="97" t="s">
        <v>502</v>
      </c>
      <c r="J1" s="98" t="s">
        <v>503</v>
      </c>
      <c r="K1" s="99"/>
      <c r="L1" s="122" t="s">
        <v>504</v>
      </c>
      <c r="M1" s="123" t="s">
        <v>506</v>
      </c>
      <c r="N1" s="123" t="s">
        <v>505</v>
      </c>
    </row>
    <row r="2" spans="1:13" ht="15">
      <c r="A2" s="101" t="s">
        <v>457</v>
      </c>
      <c r="B2" s="45" t="s">
        <v>455</v>
      </c>
      <c r="C2" s="45" t="s">
        <v>376</v>
      </c>
      <c r="D2" s="102">
        <v>37956</v>
      </c>
      <c r="E2" s="52"/>
      <c r="F2" s="103"/>
      <c r="G2" s="103"/>
      <c r="H2" s="52"/>
      <c r="I2" s="104"/>
      <c r="J2" s="105"/>
      <c r="L2" s="106">
        <v>15</v>
      </c>
      <c r="M2" s="42">
        <v>0</v>
      </c>
    </row>
    <row r="3" spans="1:13" ht="15">
      <c r="A3" s="101" t="s">
        <v>456</v>
      </c>
      <c r="B3" s="45" t="s">
        <v>455</v>
      </c>
      <c r="C3" s="45" t="s">
        <v>376</v>
      </c>
      <c r="D3" s="102">
        <v>38035</v>
      </c>
      <c r="E3" s="52"/>
      <c r="F3" s="103"/>
      <c r="G3" s="103"/>
      <c r="H3" s="52"/>
      <c r="I3" s="104"/>
      <c r="J3" s="105"/>
      <c r="L3" s="106">
        <f>L2+1</f>
        <v>16</v>
      </c>
      <c r="M3" s="42">
        <v>1</v>
      </c>
    </row>
    <row r="4" spans="1:13" ht="15">
      <c r="A4" s="101" t="s">
        <v>454</v>
      </c>
      <c r="B4" s="45" t="s">
        <v>452</v>
      </c>
      <c r="C4" s="45" t="s">
        <v>376</v>
      </c>
      <c r="D4" s="102">
        <v>38058</v>
      </c>
      <c r="E4" s="52"/>
      <c r="F4" s="103"/>
      <c r="G4" s="103"/>
      <c r="H4" s="52"/>
      <c r="I4" s="104"/>
      <c r="J4" s="105"/>
      <c r="L4" s="106">
        <f aca="true" t="shared" si="0" ref="L4:L25">L3+1</f>
        <v>17</v>
      </c>
      <c r="M4" s="42">
        <v>0</v>
      </c>
    </row>
    <row r="5" spans="1:13" ht="15">
      <c r="A5" s="101" t="s">
        <v>453</v>
      </c>
      <c r="B5" s="45" t="s">
        <v>452</v>
      </c>
      <c r="C5" s="45" t="s">
        <v>376</v>
      </c>
      <c r="D5" s="102">
        <v>38163</v>
      </c>
      <c r="E5" s="52"/>
      <c r="F5" s="103"/>
      <c r="G5" s="103"/>
      <c r="H5" s="52"/>
      <c r="I5" s="104"/>
      <c r="J5" s="105"/>
      <c r="L5" s="106">
        <f t="shared" si="0"/>
        <v>18</v>
      </c>
      <c r="M5" s="42">
        <v>6</v>
      </c>
    </row>
    <row r="6" spans="1:13" ht="15">
      <c r="A6" s="101" t="s">
        <v>451</v>
      </c>
      <c r="B6" s="45" t="s">
        <v>449</v>
      </c>
      <c r="C6" s="45" t="s">
        <v>376</v>
      </c>
      <c r="D6" s="102">
        <v>38362</v>
      </c>
      <c r="E6" s="52"/>
      <c r="F6" s="103"/>
      <c r="G6" s="103"/>
      <c r="H6" s="52"/>
      <c r="I6" s="104"/>
      <c r="J6" s="105"/>
      <c r="L6" s="106">
        <f t="shared" si="0"/>
        <v>19</v>
      </c>
      <c r="M6" s="42">
        <v>23</v>
      </c>
    </row>
    <row r="7" spans="1:13" ht="15">
      <c r="A7" s="101" t="s">
        <v>450</v>
      </c>
      <c r="B7" s="45" t="s">
        <v>449</v>
      </c>
      <c r="C7" s="45" t="s">
        <v>376</v>
      </c>
      <c r="D7" s="102">
        <v>38362</v>
      </c>
      <c r="E7" s="52"/>
      <c r="F7" s="103"/>
      <c r="G7" s="103"/>
      <c r="H7" s="52"/>
      <c r="I7" s="104"/>
      <c r="J7" s="105"/>
      <c r="L7" s="106">
        <f t="shared" si="0"/>
        <v>20</v>
      </c>
      <c r="M7" s="42">
        <v>19</v>
      </c>
    </row>
    <row r="8" spans="1:13" ht="15">
      <c r="A8" s="101" t="s">
        <v>448</v>
      </c>
      <c r="B8" s="45" t="s">
        <v>447</v>
      </c>
      <c r="C8" s="45" t="s">
        <v>376</v>
      </c>
      <c r="D8" s="102">
        <v>38380</v>
      </c>
      <c r="E8" s="52"/>
      <c r="F8" s="103"/>
      <c r="G8" s="103"/>
      <c r="H8" s="52"/>
      <c r="I8" s="104"/>
      <c r="J8" s="105"/>
      <c r="L8" s="106">
        <f t="shared" si="0"/>
        <v>21</v>
      </c>
      <c r="M8" s="42">
        <v>16</v>
      </c>
    </row>
    <row r="9" spans="1:13" ht="15">
      <c r="A9" s="101" t="s">
        <v>446</v>
      </c>
      <c r="B9" s="45" t="s">
        <v>445</v>
      </c>
      <c r="C9" s="45" t="s">
        <v>376</v>
      </c>
      <c r="D9" s="102">
        <v>38399</v>
      </c>
      <c r="E9" s="52"/>
      <c r="F9" s="103"/>
      <c r="G9" s="103"/>
      <c r="H9" s="52"/>
      <c r="I9" s="104"/>
      <c r="J9" s="105"/>
      <c r="L9" s="106">
        <f t="shared" si="0"/>
        <v>22</v>
      </c>
      <c r="M9" s="42">
        <v>18</v>
      </c>
    </row>
    <row r="10" spans="1:13" ht="15">
      <c r="A10" s="101" t="s">
        <v>444</v>
      </c>
      <c r="B10" s="45" t="s">
        <v>443</v>
      </c>
      <c r="C10" s="45" t="s">
        <v>407</v>
      </c>
      <c r="D10" s="102">
        <v>38404</v>
      </c>
      <c r="E10" s="52"/>
      <c r="F10" s="103"/>
      <c r="G10" s="103"/>
      <c r="H10" s="52"/>
      <c r="I10" s="104"/>
      <c r="J10" s="105"/>
      <c r="L10" s="106">
        <f t="shared" si="0"/>
        <v>23</v>
      </c>
      <c r="M10" s="42">
        <v>16</v>
      </c>
    </row>
    <row r="11" spans="1:14" ht="15">
      <c r="A11" s="101" t="s">
        <v>442</v>
      </c>
      <c r="B11" s="45" t="s">
        <v>441</v>
      </c>
      <c r="C11" s="45" t="s">
        <v>407</v>
      </c>
      <c r="D11" s="102">
        <v>38411</v>
      </c>
      <c r="E11" s="52"/>
      <c r="F11" s="103"/>
      <c r="G11" s="103"/>
      <c r="H11" s="52"/>
      <c r="I11" s="104"/>
      <c r="J11" s="105"/>
      <c r="L11" s="106">
        <f t="shared" si="0"/>
        <v>24</v>
      </c>
      <c r="M11" s="42">
        <v>9</v>
      </c>
      <c r="N11" s="42">
        <v>0</v>
      </c>
    </row>
    <row r="12" spans="1:14" ht="15">
      <c r="A12" s="101" t="s">
        <v>440</v>
      </c>
      <c r="B12" s="45" t="s">
        <v>439</v>
      </c>
      <c r="C12" s="45" t="s">
        <v>376</v>
      </c>
      <c r="D12" s="102">
        <v>38421</v>
      </c>
      <c r="E12" s="52"/>
      <c r="F12" s="103"/>
      <c r="G12" s="103"/>
      <c r="H12" s="52"/>
      <c r="I12" s="104"/>
      <c r="J12" s="105"/>
      <c r="L12" s="106">
        <f t="shared" si="0"/>
        <v>25</v>
      </c>
      <c r="M12" s="42">
        <v>5</v>
      </c>
      <c r="N12" s="42">
        <v>3</v>
      </c>
    </row>
    <row r="13" spans="1:14" ht="15">
      <c r="A13" s="101" t="s">
        <v>438</v>
      </c>
      <c r="B13" s="45" t="s">
        <v>437</v>
      </c>
      <c r="C13" s="45" t="s">
        <v>376</v>
      </c>
      <c r="D13" s="102">
        <v>38426</v>
      </c>
      <c r="E13" s="52"/>
      <c r="F13" s="103"/>
      <c r="G13" s="103"/>
      <c r="H13" s="52"/>
      <c r="I13" s="104"/>
      <c r="J13" s="105"/>
      <c r="L13" s="106">
        <f t="shared" si="0"/>
        <v>26</v>
      </c>
      <c r="M13" s="42">
        <v>2</v>
      </c>
      <c r="N13" s="42">
        <v>9</v>
      </c>
    </row>
    <row r="14" spans="1:14" ht="15">
      <c r="A14" s="101" t="s">
        <v>436</v>
      </c>
      <c r="B14" s="45" t="s">
        <v>435</v>
      </c>
      <c r="C14" s="45" t="s">
        <v>407</v>
      </c>
      <c r="D14" s="102">
        <v>38462</v>
      </c>
      <c r="E14" s="52"/>
      <c r="F14" s="103"/>
      <c r="G14" s="103"/>
      <c r="H14" s="52"/>
      <c r="I14" s="104"/>
      <c r="J14" s="105"/>
      <c r="L14" s="106">
        <f t="shared" si="0"/>
        <v>27</v>
      </c>
      <c r="M14" s="42">
        <v>2</v>
      </c>
      <c r="N14" s="42">
        <v>8</v>
      </c>
    </row>
    <row r="15" spans="1:14" ht="15">
      <c r="A15" s="101" t="s">
        <v>434</v>
      </c>
      <c r="B15" s="45" t="s">
        <v>433</v>
      </c>
      <c r="C15" s="45" t="s">
        <v>432</v>
      </c>
      <c r="D15" s="102">
        <v>38468</v>
      </c>
      <c r="E15" s="52"/>
      <c r="F15" s="103"/>
      <c r="G15" s="103"/>
      <c r="H15" s="52"/>
      <c r="I15" s="104"/>
      <c r="J15" s="105"/>
      <c r="L15" s="106">
        <f t="shared" si="0"/>
        <v>28</v>
      </c>
      <c r="M15" s="42">
        <v>0</v>
      </c>
      <c r="N15" s="42">
        <v>21</v>
      </c>
    </row>
    <row r="16" spans="1:14" ht="15">
      <c r="A16" s="101" t="s">
        <v>431</v>
      </c>
      <c r="B16" s="45" t="s">
        <v>430</v>
      </c>
      <c r="C16" s="45" t="s">
        <v>407</v>
      </c>
      <c r="D16" s="102">
        <v>38470</v>
      </c>
      <c r="E16" s="52"/>
      <c r="F16" s="103"/>
      <c r="G16" s="103"/>
      <c r="H16" s="52"/>
      <c r="I16" s="104"/>
      <c r="J16" s="105"/>
      <c r="L16" s="106">
        <f t="shared" si="0"/>
        <v>29</v>
      </c>
      <c r="M16" s="42">
        <v>1</v>
      </c>
      <c r="N16" s="42">
        <v>15</v>
      </c>
    </row>
    <row r="17" spans="1:14" ht="15">
      <c r="A17" s="101" t="s">
        <v>429</v>
      </c>
      <c r="B17" s="45" t="s">
        <v>428</v>
      </c>
      <c r="C17" s="45" t="s">
        <v>407</v>
      </c>
      <c r="D17" s="102">
        <v>38475</v>
      </c>
      <c r="E17" s="52"/>
      <c r="F17" s="103"/>
      <c r="G17" s="103"/>
      <c r="H17" s="52"/>
      <c r="I17" s="104"/>
      <c r="J17" s="105"/>
      <c r="L17" s="106">
        <f t="shared" si="0"/>
        <v>30</v>
      </c>
      <c r="N17" s="42">
        <v>12</v>
      </c>
    </row>
    <row r="18" spans="1:14" ht="15">
      <c r="A18" s="101" t="s">
        <v>427</v>
      </c>
      <c r="B18" s="45" t="s">
        <v>426</v>
      </c>
      <c r="C18" s="45" t="s">
        <v>376</v>
      </c>
      <c r="D18" s="102">
        <v>38499</v>
      </c>
      <c r="E18" s="52"/>
      <c r="F18" s="103"/>
      <c r="G18" s="103"/>
      <c r="H18" s="52"/>
      <c r="I18" s="104"/>
      <c r="J18" s="105"/>
      <c r="L18" s="106">
        <f t="shared" si="0"/>
        <v>31</v>
      </c>
      <c r="N18" s="42">
        <v>8</v>
      </c>
    </row>
    <row r="19" spans="1:14" ht="15">
      <c r="A19" s="101" t="s">
        <v>425</v>
      </c>
      <c r="B19" s="45" t="s">
        <v>424</v>
      </c>
      <c r="C19" s="45" t="s">
        <v>407</v>
      </c>
      <c r="D19" s="102">
        <v>38509</v>
      </c>
      <c r="E19" s="52"/>
      <c r="F19" s="103"/>
      <c r="G19" s="103"/>
      <c r="H19" s="52"/>
      <c r="I19" s="104"/>
      <c r="J19" s="105"/>
      <c r="L19" s="106">
        <f t="shared" si="0"/>
        <v>32</v>
      </c>
      <c r="N19" s="42">
        <v>11</v>
      </c>
    </row>
    <row r="20" spans="1:14" ht="15">
      <c r="A20" s="101" t="s">
        <v>423</v>
      </c>
      <c r="B20" s="45" t="s">
        <v>422</v>
      </c>
      <c r="C20" s="45" t="s">
        <v>407</v>
      </c>
      <c r="D20" s="102">
        <v>38509</v>
      </c>
      <c r="E20" s="52"/>
      <c r="F20" s="103"/>
      <c r="G20" s="103"/>
      <c r="H20" s="52"/>
      <c r="I20" s="104"/>
      <c r="J20" s="105"/>
      <c r="L20" s="106">
        <f t="shared" si="0"/>
        <v>33</v>
      </c>
      <c r="N20" s="42">
        <v>10</v>
      </c>
    </row>
    <row r="21" spans="1:14" ht="15">
      <c r="A21" s="101" t="s">
        <v>421</v>
      </c>
      <c r="B21" s="45" t="s">
        <v>420</v>
      </c>
      <c r="C21" s="45" t="s">
        <v>376</v>
      </c>
      <c r="D21" s="102">
        <v>38510</v>
      </c>
      <c r="E21" s="52"/>
      <c r="F21" s="103"/>
      <c r="G21" s="103"/>
      <c r="H21" s="52"/>
      <c r="I21" s="104"/>
      <c r="J21" s="105"/>
      <c r="L21" s="106">
        <f t="shared" si="0"/>
        <v>34</v>
      </c>
      <c r="N21" s="42">
        <v>6</v>
      </c>
    </row>
    <row r="22" spans="1:14" ht="15">
      <c r="A22" s="101" t="s">
        <v>419</v>
      </c>
      <c r="B22" s="45" t="s">
        <v>418</v>
      </c>
      <c r="C22" s="45" t="s">
        <v>184</v>
      </c>
      <c r="D22" s="102">
        <v>38519</v>
      </c>
      <c r="E22" s="52"/>
      <c r="F22" s="103"/>
      <c r="G22" s="103"/>
      <c r="H22" s="52"/>
      <c r="I22" s="104"/>
      <c r="J22" s="105"/>
      <c r="L22" s="106">
        <f t="shared" si="0"/>
        <v>35</v>
      </c>
      <c r="N22" s="42">
        <v>7</v>
      </c>
    </row>
    <row r="23" spans="1:14" ht="15">
      <c r="A23" s="101" t="s">
        <v>417</v>
      </c>
      <c r="B23" s="45" t="s">
        <v>416</v>
      </c>
      <c r="C23" s="45" t="s">
        <v>407</v>
      </c>
      <c r="D23" s="102">
        <v>38545</v>
      </c>
      <c r="E23" s="52"/>
      <c r="F23" s="103"/>
      <c r="G23" s="103"/>
      <c r="H23" s="52"/>
      <c r="I23" s="104"/>
      <c r="J23" s="105"/>
      <c r="L23" s="106">
        <f t="shared" si="0"/>
        <v>36</v>
      </c>
      <c r="N23" s="42">
        <v>5</v>
      </c>
    </row>
    <row r="24" spans="1:14" ht="15">
      <c r="A24" s="101" t="s">
        <v>415</v>
      </c>
      <c r="B24" s="45" t="s">
        <v>414</v>
      </c>
      <c r="C24" s="45" t="s">
        <v>407</v>
      </c>
      <c r="D24" s="102">
        <v>38561</v>
      </c>
      <c r="E24" s="52"/>
      <c r="F24" s="103"/>
      <c r="G24" s="103"/>
      <c r="H24" s="52"/>
      <c r="I24" s="104"/>
      <c r="J24" s="105"/>
      <c r="L24" s="106">
        <f t="shared" si="0"/>
        <v>37</v>
      </c>
      <c r="N24" s="42">
        <v>2</v>
      </c>
    </row>
    <row r="25" spans="1:14" ht="15">
      <c r="A25" s="101" t="s">
        <v>413</v>
      </c>
      <c r="B25" s="45" t="s">
        <v>412</v>
      </c>
      <c r="C25" s="45" t="s">
        <v>407</v>
      </c>
      <c r="D25" s="102">
        <v>38558</v>
      </c>
      <c r="E25" s="52"/>
      <c r="F25" s="103"/>
      <c r="G25" s="103"/>
      <c r="H25" s="52"/>
      <c r="I25" s="104"/>
      <c r="J25" s="105"/>
      <c r="L25" s="106">
        <f t="shared" si="0"/>
        <v>38</v>
      </c>
      <c r="N25" s="42">
        <v>3</v>
      </c>
    </row>
    <row r="26" spans="1:10" ht="15">
      <c r="A26" s="101" t="s">
        <v>411</v>
      </c>
      <c r="B26" s="45" t="s">
        <v>410</v>
      </c>
      <c r="C26" s="45" t="s">
        <v>407</v>
      </c>
      <c r="D26" s="102">
        <v>38604</v>
      </c>
      <c r="E26" s="52"/>
      <c r="F26" s="103"/>
      <c r="G26" s="103"/>
      <c r="H26" s="52"/>
      <c r="I26" s="104"/>
      <c r="J26" s="105"/>
    </row>
    <row r="27" spans="1:10" ht="15">
      <c r="A27" s="101" t="s">
        <v>409</v>
      </c>
      <c r="B27" s="45" t="s">
        <v>408</v>
      </c>
      <c r="C27" s="45" t="s">
        <v>407</v>
      </c>
      <c r="D27" s="102">
        <v>38604</v>
      </c>
      <c r="E27" s="52"/>
      <c r="F27" s="103"/>
      <c r="G27" s="103"/>
      <c r="H27" s="52"/>
      <c r="I27" s="104"/>
      <c r="J27" s="105"/>
    </row>
    <row r="28" spans="1:10" ht="15">
      <c r="A28" s="101" t="s">
        <v>406</v>
      </c>
      <c r="B28" s="45" t="s">
        <v>405</v>
      </c>
      <c r="C28" s="45" t="s">
        <v>118</v>
      </c>
      <c r="D28" s="102">
        <v>38699</v>
      </c>
      <c r="E28" s="52"/>
      <c r="F28" s="103"/>
      <c r="G28" s="103"/>
      <c r="H28" s="52"/>
      <c r="I28" s="104"/>
      <c r="J28" s="105"/>
    </row>
    <row r="29" spans="1:10" ht="15">
      <c r="A29" s="101" t="s">
        <v>404</v>
      </c>
      <c r="B29" s="45" t="s">
        <v>403</v>
      </c>
      <c r="C29" s="45" t="s">
        <v>118</v>
      </c>
      <c r="D29" s="102">
        <v>38699</v>
      </c>
      <c r="E29" s="52"/>
      <c r="F29" s="103"/>
      <c r="G29" s="103"/>
      <c r="H29" s="52"/>
      <c r="I29" s="104"/>
      <c r="J29" s="105"/>
    </row>
    <row r="30" spans="1:10" ht="15">
      <c r="A30" s="101" t="s">
        <v>402</v>
      </c>
      <c r="B30" s="45" t="s">
        <v>401</v>
      </c>
      <c r="C30" s="45" t="s">
        <v>184</v>
      </c>
      <c r="D30" s="102">
        <v>38678</v>
      </c>
      <c r="E30" s="52"/>
      <c r="F30" s="103"/>
      <c r="G30" s="103"/>
      <c r="H30" s="52"/>
      <c r="I30" s="104"/>
      <c r="J30" s="105"/>
    </row>
    <row r="31" spans="1:10" ht="15">
      <c r="A31" s="101" t="s">
        <v>400</v>
      </c>
      <c r="B31" s="45" t="s">
        <v>399</v>
      </c>
      <c r="C31" s="45" t="s">
        <v>118</v>
      </c>
      <c r="D31" s="102">
        <v>38687</v>
      </c>
      <c r="E31" s="52"/>
      <c r="F31" s="103"/>
      <c r="G31" s="103"/>
      <c r="H31" s="52"/>
      <c r="I31" s="104"/>
      <c r="J31" s="105"/>
    </row>
    <row r="32" spans="1:10" ht="15">
      <c r="A32" s="101" t="s">
        <v>398</v>
      </c>
      <c r="B32" s="45" t="s">
        <v>397</v>
      </c>
      <c r="C32" s="45" t="s">
        <v>118</v>
      </c>
      <c r="D32" s="102">
        <v>38687</v>
      </c>
      <c r="E32" s="52"/>
      <c r="F32" s="103"/>
      <c r="G32" s="103"/>
      <c r="H32" s="52"/>
      <c r="I32" s="104"/>
      <c r="J32" s="105"/>
    </row>
    <row r="33" spans="1:10" ht="15">
      <c r="A33" s="101" t="s">
        <v>396</v>
      </c>
      <c r="B33" s="45" t="s">
        <v>395</v>
      </c>
      <c r="C33" s="45" t="s">
        <v>118</v>
      </c>
      <c r="D33" s="102">
        <v>38706</v>
      </c>
      <c r="E33" s="52">
        <v>22</v>
      </c>
      <c r="F33" s="103"/>
      <c r="G33" s="103">
        <v>29</v>
      </c>
      <c r="H33" s="52"/>
      <c r="I33" s="104"/>
      <c r="J33" s="105"/>
    </row>
    <row r="34" spans="1:10" ht="15">
      <c r="A34" s="101" t="s">
        <v>394</v>
      </c>
      <c r="B34" s="45" t="s">
        <v>393</v>
      </c>
      <c r="C34" s="45" t="s">
        <v>118</v>
      </c>
      <c r="D34" s="102">
        <v>38721</v>
      </c>
      <c r="E34" s="106">
        <v>19</v>
      </c>
      <c r="F34" s="103"/>
      <c r="G34" s="107">
        <v>27</v>
      </c>
      <c r="H34" s="52">
        <v>15.2</v>
      </c>
      <c r="I34" s="104"/>
      <c r="J34" s="108">
        <f aca="true" t="shared" si="1" ref="J34:J97">(E34-H34)</f>
        <v>3.8000000000000007</v>
      </c>
    </row>
    <row r="35" spans="1:10" ht="15">
      <c r="A35" s="101" t="s">
        <v>392</v>
      </c>
      <c r="B35" s="45" t="s">
        <v>391</v>
      </c>
      <c r="C35" s="45" t="s">
        <v>118</v>
      </c>
      <c r="D35" s="102">
        <v>38706</v>
      </c>
      <c r="E35" s="52">
        <v>20</v>
      </c>
      <c r="F35" s="103"/>
      <c r="G35" s="103">
        <v>25.5</v>
      </c>
      <c r="H35" s="52"/>
      <c r="I35" s="104"/>
      <c r="J35" s="108"/>
    </row>
    <row r="36" spans="1:10" ht="15">
      <c r="A36" s="101" t="s">
        <v>390</v>
      </c>
      <c r="B36" s="45" t="s">
        <v>389</v>
      </c>
      <c r="C36" s="45" t="s">
        <v>166</v>
      </c>
      <c r="D36" s="102">
        <v>38721</v>
      </c>
      <c r="E36" s="52"/>
      <c r="F36" s="103"/>
      <c r="G36" s="103"/>
      <c r="H36" s="52"/>
      <c r="I36" s="104"/>
      <c r="J36" s="108"/>
    </row>
    <row r="37" spans="1:10" ht="15">
      <c r="A37" s="101" t="s">
        <v>388</v>
      </c>
      <c r="B37" s="45" t="s">
        <v>387</v>
      </c>
      <c r="C37" s="45" t="s">
        <v>118</v>
      </c>
      <c r="D37" s="102">
        <v>38720</v>
      </c>
      <c r="E37" s="52">
        <v>23</v>
      </c>
      <c r="F37" s="103"/>
      <c r="G37" s="103">
        <v>27</v>
      </c>
      <c r="H37" s="52">
        <v>15.2</v>
      </c>
      <c r="I37" s="104"/>
      <c r="J37" s="108">
        <f t="shared" si="1"/>
        <v>7.800000000000001</v>
      </c>
    </row>
    <row r="38" spans="1:10" ht="15">
      <c r="A38" s="101" t="s">
        <v>386</v>
      </c>
      <c r="B38" s="45" t="s">
        <v>385</v>
      </c>
      <c r="C38" s="45" t="s">
        <v>118</v>
      </c>
      <c r="D38" s="102">
        <v>38719</v>
      </c>
      <c r="E38" s="52">
        <v>20.32</v>
      </c>
      <c r="F38" s="103"/>
      <c r="G38" s="103">
        <v>30</v>
      </c>
      <c r="H38" s="52">
        <v>15.6</v>
      </c>
      <c r="I38" s="104"/>
      <c r="J38" s="108">
        <f t="shared" si="1"/>
        <v>4.720000000000001</v>
      </c>
    </row>
    <row r="39" spans="1:10" ht="15">
      <c r="A39" s="101" t="s">
        <v>384</v>
      </c>
      <c r="B39" s="45" t="s">
        <v>383</v>
      </c>
      <c r="C39" s="45" t="s">
        <v>376</v>
      </c>
      <c r="D39" s="102">
        <v>38730</v>
      </c>
      <c r="E39" s="52"/>
      <c r="F39" s="103"/>
      <c r="G39" s="103"/>
      <c r="H39" s="52"/>
      <c r="I39" s="104"/>
      <c r="J39" s="108"/>
    </row>
    <row r="40" spans="1:10" ht="15">
      <c r="A40" s="101" t="s">
        <v>382</v>
      </c>
      <c r="B40" s="45" t="s">
        <v>381</v>
      </c>
      <c r="C40" s="45" t="s">
        <v>118</v>
      </c>
      <c r="D40" s="102">
        <v>38730</v>
      </c>
      <c r="E40" s="52">
        <v>19.43</v>
      </c>
      <c r="F40" s="103"/>
      <c r="G40" s="103">
        <v>30.8</v>
      </c>
      <c r="H40" s="52">
        <v>15.9</v>
      </c>
      <c r="I40" s="104"/>
      <c r="J40" s="108">
        <f t="shared" si="1"/>
        <v>3.5299999999999994</v>
      </c>
    </row>
    <row r="41" spans="1:10" ht="15">
      <c r="A41" s="101" t="s">
        <v>380</v>
      </c>
      <c r="B41" s="45" t="s">
        <v>379</v>
      </c>
      <c r="C41" s="45" t="s">
        <v>347</v>
      </c>
      <c r="D41" s="102">
        <v>38748</v>
      </c>
      <c r="E41" s="52">
        <v>20</v>
      </c>
      <c r="F41" s="103"/>
      <c r="G41" s="103">
        <v>30</v>
      </c>
      <c r="H41" s="52">
        <v>16</v>
      </c>
      <c r="I41" s="104"/>
      <c r="J41" s="108">
        <f t="shared" si="1"/>
        <v>4</v>
      </c>
    </row>
    <row r="42" spans="1:10" ht="15">
      <c r="A42" s="101" t="s">
        <v>378</v>
      </c>
      <c r="B42" s="45" t="s">
        <v>377</v>
      </c>
      <c r="C42" s="45" t="s">
        <v>376</v>
      </c>
      <c r="D42" s="102">
        <v>38749</v>
      </c>
      <c r="E42" s="52"/>
      <c r="F42" s="103"/>
      <c r="G42" s="103"/>
      <c r="H42" s="52"/>
      <c r="I42" s="104"/>
      <c r="J42" s="108"/>
    </row>
    <row r="43" spans="1:10" ht="15">
      <c r="A43" s="101" t="s">
        <v>375</v>
      </c>
      <c r="B43" s="45" t="s">
        <v>374</v>
      </c>
      <c r="C43" s="45" t="s">
        <v>347</v>
      </c>
      <c r="D43" s="102">
        <v>38748</v>
      </c>
      <c r="E43" s="52">
        <v>20.3</v>
      </c>
      <c r="F43" s="103"/>
      <c r="G43" s="103">
        <v>28.6</v>
      </c>
      <c r="H43" s="52">
        <v>15.2</v>
      </c>
      <c r="I43" s="104"/>
      <c r="J43" s="108">
        <f t="shared" si="1"/>
        <v>5.100000000000001</v>
      </c>
    </row>
    <row r="44" spans="1:10" ht="15">
      <c r="A44" s="101" t="s">
        <v>373</v>
      </c>
      <c r="B44" s="45" t="s">
        <v>372</v>
      </c>
      <c r="C44" s="45" t="s">
        <v>347</v>
      </c>
      <c r="D44" s="102">
        <v>38804</v>
      </c>
      <c r="E44" s="52">
        <v>23.5</v>
      </c>
      <c r="F44" s="103"/>
      <c r="G44" s="103">
        <v>35.8</v>
      </c>
      <c r="H44" s="52">
        <v>20.4</v>
      </c>
      <c r="I44" s="104"/>
      <c r="J44" s="108">
        <f t="shared" si="1"/>
        <v>3.1000000000000014</v>
      </c>
    </row>
    <row r="45" spans="1:10" ht="15">
      <c r="A45" s="101" t="s">
        <v>371</v>
      </c>
      <c r="B45" s="45" t="s">
        <v>370</v>
      </c>
      <c r="C45" s="45" t="s">
        <v>347</v>
      </c>
      <c r="D45" s="102">
        <v>38812</v>
      </c>
      <c r="E45" s="52">
        <v>22.2</v>
      </c>
      <c r="F45" s="103"/>
      <c r="G45" s="103">
        <v>34.5</v>
      </c>
      <c r="H45" s="52">
        <v>17.3</v>
      </c>
      <c r="I45" s="104"/>
      <c r="J45" s="108">
        <f t="shared" si="1"/>
        <v>4.899999999999999</v>
      </c>
    </row>
    <row r="46" spans="1:10" ht="15">
      <c r="A46" s="101" t="s">
        <v>369</v>
      </c>
      <c r="B46" s="45" t="s">
        <v>368</v>
      </c>
      <c r="C46" s="45" t="s">
        <v>347</v>
      </c>
      <c r="D46" s="102">
        <v>38804</v>
      </c>
      <c r="E46" s="52">
        <v>21.3</v>
      </c>
      <c r="F46" s="103"/>
      <c r="G46" s="103">
        <v>32</v>
      </c>
      <c r="H46" s="52">
        <v>22.6</v>
      </c>
      <c r="I46" s="104"/>
      <c r="J46" s="108">
        <f t="shared" si="1"/>
        <v>-1.3000000000000007</v>
      </c>
    </row>
    <row r="47" spans="1:10" ht="15">
      <c r="A47" s="101" t="s">
        <v>367</v>
      </c>
      <c r="B47" s="45" t="s">
        <v>366</v>
      </c>
      <c r="C47" s="45" t="s">
        <v>347</v>
      </c>
      <c r="D47" s="102">
        <v>38798</v>
      </c>
      <c r="E47" s="52">
        <v>22</v>
      </c>
      <c r="F47" s="103"/>
      <c r="G47" s="103">
        <v>31</v>
      </c>
      <c r="H47" s="52">
        <v>21</v>
      </c>
      <c r="I47" s="104"/>
      <c r="J47" s="108">
        <f t="shared" si="1"/>
        <v>1</v>
      </c>
    </row>
    <row r="48" spans="1:10" ht="15">
      <c r="A48" s="101" t="s">
        <v>365</v>
      </c>
      <c r="B48" s="45" t="s">
        <v>364</v>
      </c>
      <c r="C48" s="45" t="s">
        <v>347</v>
      </c>
      <c r="D48" s="102">
        <v>38786</v>
      </c>
      <c r="E48" s="52">
        <v>23</v>
      </c>
      <c r="F48" s="103"/>
      <c r="G48" s="103">
        <v>31</v>
      </c>
      <c r="H48" s="52">
        <v>20</v>
      </c>
      <c r="I48" s="104"/>
      <c r="J48" s="108">
        <f t="shared" si="1"/>
        <v>3</v>
      </c>
    </row>
    <row r="49" spans="1:10" ht="15">
      <c r="A49" s="101" t="s">
        <v>363</v>
      </c>
      <c r="B49" s="45" t="s">
        <v>362</v>
      </c>
      <c r="C49" s="45" t="s">
        <v>347</v>
      </c>
      <c r="D49" s="102">
        <v>38786</v>
      </c>
      <c r="E49" s="52">
        <v>24</v>
      </c>
      <c r="F49" s="103"/>
      <c r="G49" s="103">
        <v>34</v>
      </c>
      <c r="H49" s="52">
        <v>20</v>
      </c>
      <c r="I49" s="104"/>
      <c r="J49" s="108">
        <f t="shared" si="1"/>
        <v>4</v>
      </c>
    </row>
    <row r="50" spans="1:10" ht="15">
      <c r="A50" s="101" t="s">
        <v>361</v>
      </c>
      <c r="B50" s="45" t="s">
        <v>360</v>
      </c>
      <c r="C50" s="45" t="s">
        <v>347</v>
      </c>
      <c r="D50" s="102">
        <v>38798</v>
      </c>
      <c r="E50" s="52">
        <v>22.4</v>
      </c>
      <c r="F50" s="103"/>
      <c r="G50" s="103">
        <v>31</v>
      </c>
      <c r="H50" s="52">
        <v>17.2</v>
      </c>
      <c r="I50" s="104"/>
      <c r="J50" s="108">
        <f t="shared" si="1"/>
        <v>5.199999999999999</v>
      </c>
    </row>
    <row r="51" spans="1:10" ht="15">
      <c r="A51" s="101" t="s">
        <v>359</v>
      </c>
      <c r="B51" s="45" t="s">
        <v>358</v>
      </c>
      <c r="C51" s="45" t="s">
        <v>347</v>
      </c>
      <c r="D51" s="102">
        <v>38828</v>
      </c>
      <c r="E51" s="52">
        <v>21.4</v>
      </c>
      <c r="F51" s="103"/>
      <c r="G51" s="103">
        <v>37.6</v>
      </c>
      <c r="H51" s="52">
        <v>18.8</v>
      </c>
      <c r="I51" s="104"/>
      <c r="J51" s="108">
        <f t="shared" si="1"/>
        <v>2.599999999999998</v>
      </c>
    </row>
    <row r="52" spans="1:10" ht="15">
      <c r="A52" s="101" t="s">
        <v>357</v>
      </c>
      <c r="B52" s="45" t="s">
        <v>356</v>
      </c>
      <c r="C52" s="45" t="s">
        <v>347</v>
      </c>
      <c r="D52" s="102">
        <v>38812</v>
      </c>
      <c r="E52" s="52">
        <v>22.9</v>
      </c>
      <c r="F52" s="103"/>
      <c r="G52" s="103">
        <v>36.5</v>
      </c>
      <c r="H52" s="52">
        <v>22.8</v>
      </c>
      <c r="I52" s="104"/>
      <c r="J52" s="108">
        <f t="shared" si="1"/>
        <v>0.09999999999999787</v>
      </c>
    </row>
    <row r="53" spans="1:10" ht="15">
      <c r="A53" s="101" t="s">
        <v>355</v>
      </c>
      <c r="B53" s="45" t="s">
        <v>354</v>
      </c>
      <c r="C53" s="45" t="s">
        <v>184</v>
      </c>
      <c r="D53" s="102">
        <v>38818</v>
      </c>
      <c r="E53" s="52"/>
      <c r="F53" s="103"/>
      <c r="G53" s="103"/>
      <c r="H53" s="52"/>
      <c r="I53" s="104"/>
      <c r="J53" s="108"/>
    </row>
    <row r="54" spans="1:10" ht="15">
      <c r="A54" s="101" t="s">
        <v>353</v>
      </c>
      <c r="B54" s="45" t="s">
        <v>352</v>
      </c>
      <c r="C54" s="45" t="s">
        <v>197</v>
      </c>
      <c r="D54" s="102">
        <v>38827</v>
      </c>
      <c r="E54" s="52"/>
      <c r="F54" s="103"/>
      <c r="G54" s="103"/>
      <c r="H54" s="52"/>
      <c r="I54" s="104"/>
      <c r="J54" s="108"/>
    </row>
    <row r="55" spans="1:10" ht="15">
      <c r="A55" s="101" t="s">
        <v>351</v>
      </c>
      <c r="B55" s="45" t="s">
        <v>350</v>
      </c>
      <c r="C55" s="45" t="s">
        <v>291</v>
      </c>
      <c r="D55" s="102">
        <v>38904</v>
      </c>
      <c r="E55" s="52">
        <v>21</v>
      </c>
      <c r="F55" s="103"/>
      <c r="G55" s="103">
        <v>37.5</v>
      </c>
      <c r="H55" s="52">
        <v>18.7</v>
      </c>
      <c r="I55" s="104"/>
      <c r="J55" s="108">
        <f t="shared" si="1"/>
        <v>2.3000000000000007</v>
      </c>
    </row>
    <row r="56" spans="1:10" ht="15">
      <c r="A56" s="101" t="s">
        <v>349</v>
      </c>
      <c r="B56" s="45" t="s">
        <v>348</v>
      </c>
      <c r="C56" s="45" t="s">
        <v>347</v>
      </c>
      <c r="D56" s="102">
        <v>38828</v>
      </c>
      <c r="E56" s="52">
        <v>23.8</v>
      </c>
      <c r="F56" s="103"/>
      <c r="G56" s="103">
        <v>35</v>
      </c>
      <c r="H56" s="52">
        <v>20</v>
      </c>
      <c r="I56" s="104"/>
      <c r="J56" s="108">
        <f t="shared" si="1"/>
        <v>3.8000000000000007</v>
      </c>
    </row>
    <row r="57" spans="1:10" ht="15">
      <c r="A57" s="101" t="s">
        <v>346</v>
      </c>
      <c r="B57" s="45" t="s">
        <v>345</v>
      </c>
      <c r="C57" s="45" t="s">
        <v>315</v>
      </c>
      <c r="D57" s="102">
        <v>38841</v>
      </c>
      <c r="E57" s="52">
        <v>24</v>
      </c>
      <c r="F57" s="103"/>
      <c r="G57" s="103">
        <v>33</v>
      </c>
      <c r="H57" s="52">
        <v>22</v>
      </c>
      <c r="I57" s="104"/>
      <c r="J57" s="108">
        <f t="shared" si="1"/>
        <v>2</v>
      </c>
    </row>
    <row r="58" spans="1:10" ht="15">
      <c r="A58" s="101" t="s">
        <v>344</v>
      </c>
      <c r="B58" s="45" t="s">
        <v>343</v>
      </c>
      <c r="C58" s="45" t="s">
        <v>315</v>
      </c>
      <c r="D58" s="102">
        <v>38841</v>
      </c>
      <c r="E58" s="52">
        <v>25</v>
      </c>
      <c r="F58" s="103"/>
      <c r="G58" s="103">
        <v>35.5</v>
      </c>
      <c r="H58" s="52">
        <v>20</v>
      </c>
      <c r="I58" s="104"/>
      <c r="J58" s="108">
        <f t="shared" si="1"/>
        <v>5</v>
      </c>
    </row>
    <row r="59" spans="1:10" ht="15">
      <c r="A59" s="101" t="s">
        <v>342</v>
      </c>
      <c r="B59" s="45" t="s">
        <v>341</v>
      </c>
      <c r="C59" s="45" t="s">
        <v>125</v>
      </c>
      <c r="D59" s="102">
        <v>39111</v>
      </c>
      <c r="E59" s="106">
        <v>20</v>
      </c>
      <c r="F59" s="107">
        <v>35</v>
      </c>
      <c r="G59" s="107">
        <v>37.4</v>
      </c>
      <c r="H59" s="106">
        <v>18.7</v>
      </c>
      <c r="I59" s="109">
        <f>(F59-G59)</f>
        <v>-2.3999999999999986</v>
      </c>
      <c r="J59" s="108">
        <f t="shared" si="1"/>
        <v>1.3000000000000007</v>
      </c>
    </row>
    <row r="60" spans="1:10" ht="15">
      <c r="A60" s="101" t="s">
        <v>340</v>
      </c>
      <c r="B60" s="45" t="s">
        <v>339</v>
      </c>
      <c r="C60" s="45" t="s">
        <v>338</v>
      </c>
      <c r="D60" s="102">
        <v>39132</v>
      </c>
      <c r="E60" s="52">
        <v>22</v>
      </c>
      <c r="F60" s="103">
        <v>34</v>
      </c>
      <c r="G60" s="103">
        <v>31.4</v>
      </c>
      <c r="H60" s="52">
        <v>18.1</v>
      </c>
      <c r="I60" s="109">
        <f>(F60-G60)</f>
        <v>2.6000000000000014</v>
      </c>
      <c r="J60" s="108">
        <f t="shared" si="1"/>
        <v>3.8999999999999986</v>
      </c>
    </row>
    <row r="61" spans="1:10" ht="15">
      <c r="A61" s="101" t="s">
        <v>337</v>
      </c>
      <c r="B61" s="45" t="s">
        <v>336</v>
      </c>
      <c r="C61" s="45" t="s">
        <v>315</v>
      </c>
      <c r="D61" s="102">
        <v>38869</v>
      </c>
      <c r="E61" s="52">
        <v>21.2</v>
      </c>
      <c r="F61" s="103"/>
      <c r="G61" s="103">
        <v>33.5</v>
      </c>
      <c r="H61" s="52">
        <v>22.3</v>
      </c>
      <c r="I61" s="104"/>
      <c r="J61" s="108">
        <f t="shared" si="1"/>
        <v>-1.1000000000000014</v>
      </c>
    </row>
    <row r="62" spans="1:10" ht="15">
      <c r="A62" s="101" t="s">
        <v>335</v>
      </c>
      <c r="B62" s="45" t="s">
        <v>334</v>
      </c>
      <c r="C62" s="45" t="s">
        <v>315</v>
      </c>
      <c r="D62" s="102">
        <v>38869</v>
      </c>
      <c r="E62" s="52">
        <v>20.7</v>
      </c>
      <c r="F62" s="103"/>
      <c r="G62" s="103">
        <v>29.5</v>
      </c>
      <c r="H62" s="52">
        <v>18.2</v>
      </c>
      <c r="I62" s="104"/>
      <c r="J62" s="108">
        <f t="shared" si="1"/>
        <v>2.5</v>
      </c>
    </row>
    <row r="63" spans="1:10" ht="15">
      <c r="A63" s="101" t="s">
        <v>333</v>
      </c>
      <c r="B63" s="45" t="s">
        <v>332</v>
      </c>
      <c r="C63" s="45" t="s">
        <v>315</v>
      </c>
      <c r="D63" s="102">
        <v>38875</v>
      </c>
      <c r="E63" s="52">
        <v>24.3</v>
      </c>
      <c r="F63" s="103"/>
      <c r="G63" s="103">
        <v>31.1</v>
      </c>
      <c r="H63" s="52">
        <v>18.8</v>
      </c>
      <c r="I63" s="104"/>
      <c r="J63" s="108">
        <f t="shared" si="1"/>
        <v>5.5</v>
      </c>
    </row>
    <row r="64" spans="1:10" ht="15">
      <c r="A64" s="101" t="s">
        <v>331</v>
      </c>
      <c r="B64" s="45" t="s">
        <v>330</v>
      </c>
      <c r="C64" s="45" t="s">
        <v>315</v>
      </c>
      <c r="D64" s="102">
        <v>38875</v>
      </c>
      <c r="E64" s="52"/>
      <c r="F64" s="103"/>
      <c r="G64" s="103">
        <v>30.7</v>
      </c>
      <c r="H64" s="52">
        <v>18.9</v>
      </c>
      <c r="I64" s="104"/>
      <c r="J64" s="108"/>
    </row>
    <row r="65" spans="1:10" ht="15">
      <c r="A65" s="101" t="s">
        <v>329</v>
      </c>
      <c r="B65" s="45" t="s">
        <v>328</v>
      </c>
      <c r="C65" s="45" t="s">
        <v>315</v>
      </c>
      <c r="D65" s="102">
        <v>38883</v>
      </c>
      <c r="E65" s="52">
        <v>24.7</v>
      </c>
      <c r="F65" s="103"/>
      <c r="G65" s="103">
        <v>29</v>
      </c>
      <c r="H65" s="52">
        <v>18.7</v>
      </c>
      <c r="I65" s="104"/>
      <c r="J65" s="108">
        <f t="shared" si="1"/>
        <v>6</v>
      </c>
    </row>
    <row r="66" spans="1:10" ht="15">
      <c r="A66" s="101" t="s">
        <v>327</v>
      </c>
      <c r="B66" s="45" t="s">
        <v>326</v>
      </c>
      <c r="C66" s="45" t="s">
        <v>315</v>
      </c>
      <c r="D66" s="102">
        <v>38883</v>
      </c>
      <c r="E66" s="52">
        <v>21.3</v>
      </c>
      <c r="F66" s="103"/>
      <c r="G66" s="103">
        <v>31</v>
      </c>
      <c r="H66" s="52">
        <v>18.2</v>
      </c>
      <c r="I66" s="104"/>
      <c r="J66" s="108">
        <f t="shared" si="1"/>
        <v>3.1000000000000014</v>
      </c>
    </row>
    <row r="67" spans="1:10" ht="15">
      <c r="A67" s="101" t="s">
        <v>325</v>
      </c>
      <c r="B67" s="45" t="s">
        <v>324</v>
      </c>
      <c r="C67" s="45" t="s">
        <v>206</v>
      </c>
      <c r="D67" s="102">
        <v>39015</v>
      </c>
      <c r="E67" s="52">
        <v>19.8</v>
      </c>
      <c r="F67" s="103"/>
      <c r="G67" s="103">
        <v>30</v>
      </c>
      <c r="H67" s="52">
        <v>20.5</v>
      </c>
      <c r="I67" s="104"/>
      <c r="J67" s="108">
        <f t="shared" si="1"/>
        <v>-0.6999999999999993</v>
      </c>
    </row>
    <row r="68" spans="1:10" ht="15">
      <c r="A68" s="101" t="s">
        <v>323</v>
      </c>
      <c r="B68" s="45" t="s">
        <v>322</v>
      </c>
      <c r="C68" s="45" t="s">
        <v>315</v>
      </c>
      <c r="D68" s="102">
        <v>38889</v>
      </c>
      <c r="E68" s="52">
        <v>22</v>
      </c>
      <c r="F68" s="103"/>
      <c r="G68" s="103">
        <v>28.3</v>
      </c>
      <c r="H68" s="52">
        <v>18.1</v>
      </c>
      <c r="I68" s="104"/>
      <c r="J68" s="108">
        <f t="shared" si="1"/>
        <v>3.8999999999999986</v>
      </c>
    </row>
    <row r="69" spans="1:10" ht="15">
      <c r="A69" s="101" t="s">
        <v>321</v>
      </c>
      <c r="B69" s="45" t="s">
        <v>320</v>
      </c>
      <c r="C69" s="45" t="s">
        <v>315</v>
      </c>
      <c r="D69" s="102">
        <v>38889</v>
      </c>
      <c r="E69" s="52">
        <v>20</v>
      </c>
      <c r="F69" s="103"/>
      <c r="G69" s="103">
        <v>30</v>
      </c>
      <c r="H69" s="52">
        <v>20</v>
      </c>
      <c r="I69" s="104"/>
      <c r="J69" s="108">
        <f t="shared" si="1"/>
        <v>0</v>
      </c>
    </row>
    <row r="70" spans="1:10" ht="15">
      <c r="A70" s="101" t="s">
        <v>319</v>
      </c>
      <c r="B70" s="45" t="s">
        <v>318</v>
      </c>
      <c r="C70" s="45" t="s">
        <v>315</v>
      </c>
      <c r="D70" s="102">
        <v>38898</v>
      </c>
      <c r="E70" s="52">
        <v>21.7</v>
      </c>
      <c r="F70" s="103"/>
      <c r="G70" s="103">
        <v>31.8</v>
      </c>
      <c r="H70" s="52">
        <v>19.5</v>
      </c>
      <c r="I70" s="104"/>
      <c r="J70" s="108">
        <f t="shared" si="1"/>
        <v>2.1999999999999993</v>
      </c>
    </row>
    <row r="71" spans="1:10" ht="15">
      <c r="A71" s="101" t="s">
        <v>317</v>
      </c>
      <c r="B71" s="45" t="s">
        <v>316</v>
      </c>
      <c r="C71" s="45" t="s">
        <v>315</v>
      </c>
      <c r="D71" s="102">
        <v>38898</v>
      </c>
      <c r="E71" s="52">
        <v>26</v>
      </c>
      <c r="F71" s="103"/>
      <c r="G71" s="103">
        <v>35</v>
      </c>
      <c r="H71" s="52">
        <v>19.5</v>
      </c>
      <c r="I71" s="104"/>
      <c r="J71" s="108">
        <f t="shared" si="1"/>
        <v>6.5</v>
      </c>
    </row>
    <row r="72" spans="1:10" ht="15">
      <c r="A72" s="101" t="s">
        <v>314</v>
      </c>
      <c r="B72" s="45" t="s">
        <v>313</v>
      </c>
      <c r="C72" s="45" t="s">
        <v>291</v>
      </c>
      <c r="D72" s="102">
        <v>38901</v>
      </c>
      <c r="E72" s="52">
        <v>23</v>
      </c>
      <c r="F72" s="103"/>
      <c r="G72" s="103">
        <v>31.5</v>
      </c>
      <c r="H72" s="52">
        <v>17.6</v>
      </c>
      <c r="I72" s="104"/>
      <c r="J72" s="108">
        <f t="shared" si="1"/>
        <v>5.399999999999999</v>
      </c>
    </row>
    <row r="73" spans="1:10" ht="15">
      <c r="A73" s="101" t="s">
        <v>312</v>
      </c>
      <c r="B73" s="45" t="s">
        <v>311</v>
      </c>
      <c r="C73" s="45" t="s">
        <v>291</v>
      </c>
      <c r="D73" s="102">
        <v>38902</v>
      </c>
      <c r="E73" s="52">
        <v>23.8</v>
      </c>
      <c r="F73" s="103"/>
      <c r="G73" s="103">
        <v>32.5</v>
      </c>
      <c r="H73" s="52">
        <v>19.5</v>
      </c>
      <c r="I73" s="104"/>
      <c r="J73" s="108">
        <f t="shared" si="1"/>
        <v>4.300000000000001</v>
      </c>
    </row>
    <row r="74" spans="1:10" ht="15">
      <c r="A74" s="101" t="s">
        <v>310</v>
      </c>
      <c r="B74" s="45" t="s">
        <v>309</v>
      </c>
      <c r="C74" s="45" t="s">
        <v>291</v>
      </c>
      <c r="D74" s="102">
        <v>38912</v>
      </c>
      <c r="E74" s="52">
        <v>25</v>
      </c>
      <c r="F74" s="103"/>
      <c r="G74" s="103">
        <v>36</v>
      </c>
      <c r="H74" s="52">
        <v>19</v>
      </c>
      <c r="I74" s="104"/>
      <c r="J74" s="108">
        <f t="shared" si="1"/>
        <v>6</v>
      </c>
    </row>
    <row r="75" spans="1:10" ht="15">
      <c r="A75" s="101" t="s">
        <v>308</v>
      </c>
      <c r="B75" s="45" t="s">
        <v>307</v>
      </c>
      <c r="C75" s="45" t="s">
        <v>291</v>
      </c>
      <c r="D75" s="102">
        <v>38904</v>
      </c>
      <c r="E75" s="52">
        <v>23</v>
      </c>
      <c r="F75" s="103"/>
      <c r="G75" s="103">
        <v>29</v>
      </c>
      <c r="H75" s="52">
        <v>18</v>
      </c>
      <c r="I75" s="104"/>
      <c r="J75" s="108">
        <f t="shared" si="1"/>
        <v>5</v>
      </c>
    </row>
    <row r="76" spans="1:10" ht="15">
      <c r="A76" s="101" t="s">
        <v>306</v>
      </c>
      <c r="B76" s="45" t="s">
        <v>132</v>
      </c>
      <c r="C76" s="45" t="s">
        <v>184</v>
      </c>
      <c r="D76" s="102"/>
      <c r="E76" s="52"/>
      <c r="F76" s="103"/>
      <c r="G76" s="103"/>
      <c r="H76" s="52"/>
      <c r="I76" s="104"/>
      <c r="J76" s="108"/>
    </row>
    <row r="77" spans="1:10" ht="15">
      <c r="A77" s="101" t="s">
        <v>305</v>
      </c>
      <c r="B77" s="45" t="s">
        <v>304</v>
      </c>
      <c r="C77" s="45" t="s">
        <v>291</v>
      </c>
      <c r="D77" s="102">
        <v>38917</v>
      </c>
      <c r="E77" s="52">
        <v>22.9</v>
      </c>
      <c r="F77" s="103"/>
      <c r="G77" s="103">
        <v>32.5</v>
      </c>
      <c r="H77" s="52">
        <v>19.8</v>
      </c>
      <c r="I77" s="104"/>
      <c r="J77" s="108">
        <f t="shared" si="1"/>
        <v>3.099999999999998</v>
      </c>
    </row>
    <row r="78" spans="1:10" ht="15">
      <c r="A78" s="101" t="s">
        <v>303</v>
      </c>
      <c r="B78" s="45" t="s">
        <v>302</v>
      </c>
      <c r="C78" s="45" t="s">
        <v>291</v>
      </c>
      <c r="D78" s="102">
        <v>38924</v>
      </c>
      <c r="F78" s="103"/>
      <c r="G78" s="107">
        <v>33</v>
      </c>
      <c r="H78" s="106">
        <v>18</v>
      </c>
      <c r="I78" s="104"/>
      <c r="J78" s="108"/>
    </row>
    <row r="79" spans="1:10" ht="15">
      <c r="A79" s="101" t="s">
        <v>301</v>
      </c>
      <c r="B79" s="45" t="s">
        <v>300</v>
      </c>
      <c r="C79" s="45" t="s">
        <v>291</v>
      </c>
      <c r="D79" s="102">
        <v>38912</v>
      </c>
      <c r="E79" s="52">
        <v>22.6</v>
      </c>
      <c r="F79" s="103"/>
      <c r="G79" s="103">
        <v>29.7</v>
      </c>
      <c r="H79" s="52">
        <v>19.4</v>
      </c>
      <c r="I79" s="104"/>
      <c r="J79" s="108">
        <f t="shared" si="1"/>
        <v>3.200000000000003</v>
      </c>
    </row>
    <row r="80" spans="1:10" ht="15">
      <c r="A80" s="101" t="s">
        <v>299</v>
      </c>
      <c r="B80" s="45" t="s">
        <v>298</v>
      </c>
      <c r="C80" s="45" t="s">
        <v>291</v>
      </c>
      <c r="D80" s="102">
        <v>38917</v>
      </c>
      <c r="E80" s="52">
        <v>22.3</v>
      </c>
      <c r="F80" s="103"/>
      <c r="G80" s="103">
        <v>25.6</v>
      </c>
      <c r="H80" s="52">
        <v>18.8</v>
      </c>
      <c r="I80" s="104"/>
      <c r="J80" s="108">
        <f t="shared" si="1"/>
        <v>3.5</v>
      </c>
    </row>
    <row r="81" spans="1:10" ht="15">
      <c r="A81" s="101" t="s">
        <v>297</v>
      </c>
      <c r="B81" s="45" t="s">
        <v>296</v>
      </c>
      <c r="C81" s="45" t="s">
        <v>291</v>
      </c>
      <c r="D81" s="102">
        <v>38924</v>
      </c>
      <c r="E81" s="52">
        <v>22</v>
      </c>
      <c r="F81" s="103"/>
      <c r="G81" s="103">
        <v>31</v>
      </c>
      <c r="H81" s="52">
        <v>19</v>
      </c>
      <c r="I81" s="104"/>
      <c r="J81" s="108">
        <f t="shared" si="1"/>
        <v>3</v>
      </c>
    </row>
    <row r="82" spans="1:10" ht="15">
      <c r="A82" s="101" t="s">
        <v>295</v>
      </c>
      <c r="B82" s="45" t="s">
        <v>294</v>
      </c>
      <c r="C82" s="45" t="s">
        <v>291</v>
      </c>
      <c r="D82" s="102">
        <v>38926</v>
      </c>
      <c r="E82" s="52">
        <v>23.5</v>
      </c>
      <c r="F82" s="103"/>
      <c r="G82" s="103">
        <v>34.3</v>
      </c>
      <c r="H82" s="52">
        <v>18.9</v>
      </c>
      <c r="I82" s="104"/>
      <c r="J82" s="108">
        <f t="shared" si="1"/>
        <v>4.600000000000001</v>
      </c>
    </row>
    <row r="83" spans="1:10" ht="15">
      <c r="A83" s="101" t="s">
        <v>293</v>
      </c>
      <c r="B83" s="45" t="s">
        <v>292</v>
      </c>
      <c r="C83" s="45" t="s">
        <v>291</v>
      </c>
      <c r="D83" s="102">
        <v>38926</v>
      </c>
      <c r="E83" s="52">
        <v>23</v>
      </c>
      <c r="F83" s="103"/>
      <c r="G83" s="103">
        <v>33</v>
      </c>
      <c r="H83" s="52">
        <v>20</v>
      </c>
      <c r="I83" s="104"/>
      <c r="J83" s="108">
        <f t="shared" si="1"/>
        <v>3</v>
      </c>
    </row>
    <row r="84" spans="1:10" ht="15">
      <c r="A84" s="101" t="s">
        <v>290</v>
      </c>
      <c r="B84" s="45" t="s">
        <v>289</v>
      </c>
      <c r="C84" s="45" t="s">
        <v>118</v>
      </c>
      <c r="D84" s="102">
        <v>39000</v>
      </c>
      <c r="E84" s="52">
        <v>29</v>
      </c>
      <c r="F84" s="103"/>
      <c r="G84" s="103">
        <v>36</v>
      </c>
      <c r="H84" s="52">
        <v>20</v>
      </c>
      <c r="I84" s="104"/>
      <c r="J84" s="108">
        <f t="shared" si="1"/>
        <v>9</v>
      </c>
    </row>
    <row r="85" spans="1:10" ht="15">
      <c r="A85" s="101" t="s">
        <v>288</v>
      </c>
      <c r="B85" s="45" t="s">
        <v>287</v>
      </c>
      <c r="C85" s="45" t="s">
        <v>233</v>
      </c>
      <c r="D85" s="102">
        <v>39006</v>
      </c>
      <c r="E85" s="52">
        <v>23</v>
      </c>
      <c r="F85" s="103"/>
      <c r="G85" s="103">
        <v>33.5</v>
      </c>
      <c r="H85" s="52">
        <v>19.5</v>
      </c>
      <c r="I85" s="104"/>
      <c r="J85" s="108">
        <f t="shared" si="1"/>
        <v>3.5</v>
      </c>
    </row>
    <row r="86" spans="1:10" ht="15">
      <c r="A86" s="101" t="s">
        <v>286</v>
      </c>
      <c r="B86" s="45" t="s">
        <v>285</v>
      </c>
      <c r="C86" s="45" t="s">
        <v>254</v>
      </c>
      <c r="D86" s="102">
        <v>38971</v>
      </c>
      <c r="E86" s="52">
        <v>23</v>
      </c>
      <c r="F86" s="103"/>
      <c r="G86" s="103">
        <v>33</v>
      </c>
      <c r="H86" s="52">
        <v>19</v>
      </c>
      <c r="I86" s="104"/>
      <c r="J86" s="108">
        <f t="shared" si="1"/>
        <v>4</v>
      </c>
    </row>
    <row r="87" spans="1:10" ht="15">
      <c r="A87" s="101" t="s">
        <v>284</v>
      </c>
      <c r="B87" s="45" t="s">
        <v>283</v>
      </c>
      <c r="C87" s="45" t="s">
        <v>197</v>
      </c>
      <c r="D87" s="102">
        <v>38929</v>
      </c>
      <c r="E87" s="52"/>
      <c r="F87" s="103"/>
      <c r="G87" s="103"/>
      <c r="H87" s="52"/>
      <c r="I87" s="104"/>
      <c r="J87" s="108"/>
    </row>
    <row r="88" spans="1:10" ht="15">
      <c r="A88" s="101" t="s">
        <v>282</v>
      </c>
      <c r="B88" s="45" t="s">
        <v>281</v>
      </c>
      <c r="C88" s="45" t="s">
        <v>254</v>
      </c>
      <c r="D88" s="102">
        <v>38947</v>
      </c>
      <c r="E88" s="52">
        <v>22</v>
      </c>
      <c r="F88" s="103"/>
      <c r="G88" s="103">
        <v>35</v>
      </c>
      <c r="H88" s="52">
        <v>19</v>
      </c>
      <c r="I88" s="104"/>
      <c r="J88" s="108">
        <f t="shared" si="1"/>
        <v>3</v>
      </c>
    </row>
    <row r="89" spans="1:10" ht="15">
      <c r="A89" s="101" t="s">
        <v>280</v>
      </c>
      <c r="B89" s="45" t="s">
        <v>279</v>
      </c>
      <c r="C89" s="45" t="s">
        <v>254</v>
      </c>
      <c r="D89" s="102">
        <v>38947</v>
      </c>
      <c r="E89" s="52">
        <v>22</v>
      </c>
      <c r="F89" s="103"/>
      <c r="G89" s="103">
        <v>32</v>
      </c>
      <c r="H89" s="52">
        <v>20</v>
      </c>
      <c r="I89" s="104"/>
      <c r="J89" s="108">
        <f t="shared" si="1"/>
        <v>2</v>
      </c>
    </row>
    <row r="90" spans="1:10" ht="15">
      <c r="A90" s="101" t="s">
        <v>278</v>
      </c>
      <c r="B90" s="45" t="s">
        <v>277</v>
      </c>
      <c r="C90" s="45" t="s">
        <v>254</v>
      </c>
      <c r="D90" s="102">
        <v>38947</v>
      </c>
      <c r="E90" s="52">
        <v>24</v>
      </c>
      <c r="F90" s="103"/>
      <c r="G90" s="103">
        <v>36.4</v>
      </c>
      <c r="H90" s="52">
        <v>18.9</v>
      </c>
      <c r="I90" s="104"/>
      <c r="J90" s="108">
        <f t="shared" si="1"/>
        <v>5.100000000000001</v>
      </c>
    </row>
    <row r="91" spans="1:10" ht="15">
      <c r="A91" s="101" t="s">
        <v>276</v>
      </c>
      <c r="B91" s="45" t="s">
        <v>275</v>
      </c>
      <c r="C91" s="45" t="s">
        <v>254</v>
      </c>
      <c r="D91" s="102">
        <v>38947</v>
      </c>
      <c r="E91" s="52">
        <v>24</v>
      </c>
      <c r="F91" s="103"/>
      <c r="G91" s="103">
        <v>32</v>
      </c>
      <c r="H91" s="52">
        <v>18.6</v>
      </c>
      <c r="I91" s="104"/>
      <c r="J91" s="108">
        <f t="shared" si="1"/>
        <v>5.399999999999999</v>
      </c>
    </row>
    <row r="92" spans="1:10" ht="15">
      <c r="A92" s="101" t="s">
        <v>274</v>
      </c>
      <c r="B92" s="45" t="s">
        <v>273</v>
      </c>
      <c r="C92" s="45" t="s">
        <v>233</v>
      </c>
      <c r="D92" s="102">
        <v>38961</v>
      </c>
      <c r="E92" s="52">
        <v>23</v>
      </c>
      <c r="F92" s="103"/>
      <c r="G92" s="103">
        <v>31</v>
      </c>
      <c r="H92" s="52">
        <v>19</v>
      </c>
      <c r="I92" s="104"/>
      <c r="J92" s="108">
        <f t="shared" si="1"/>
        <v>4</v>
      </c>
    </row>
    <row r="93" spans="1:10" ht="15">
      <c r="A93" s="101" t="s">
        <v>272</v>
      </c>
      <c r="B93" s="45" t="s">
        <v>271</v>
      </c>
      <c r="C93" s="45" t="s">
        <v>233</v>
      </c>
      <c r="D93" s="102">
        <v>38960</v>
      </c>
      <c r="E93" s="52">
        <v>22</v>
      </c>
      <c r="F93" s="103"/>
      <c r="G93" s="103">
        <v>35</v>
      </c>
      <c r="H93" s="52">
        <v>19</v>
      </c>
      <c r="I93" s="104"/>
      <c r="J93" s="108">
        <f t="shared" si="1"/>
        <v>3</v>
      </c>
    </row>
    <row r="94" spans="1:10" ht="15">
      <c r="A94" s="101" t="s">
        <v>270</v>
      </c>
      <c r="B94" s="45" t="s">
        <v>269</v>
      </c>
      <c r="C94" s="45" t="s">
        <v>254</v>
      </c>
      <c r="D94" s="102">
        <v>38967</v>
      </c>
      <c r="E94" s="52">
        <v>19</v>
      </c>
      <c r="F94" s="103"/>
      <c r="G94" s="103">
        <v>26</v>
      </c>
      <c r="H94" s="52">
        <v>19</v>
      </c>
      <c r="I94" s="104"/>
      <c r="J94" s="108">
        <f t="shared" si="1"/>
        <v>0</v>
      </c>
    </row>
    <row r="95" spans="1:10" ht="15">
      <c r="A95" s="101" t="s">
        <v>268</v>
      </c>
      <c r="B95" s="45" t="s">
        <v>267</v>
      </c>
      <c r="C95" s="45" t="s">
        <v>254</v>
      </c>
      <c r="D95" s="102">
        <v>38967</v>
      </c>
      <c r="E95" s="52">
        <v>27</v>
      </c>
      <c r="F95" s="103"/>
      <c r="G95" s="103">
        <v>32</v>
      </c>
      <c r="H95" s="52">
        <v>19</v>
      </c>
      <c r="I95" s="104"/>
      <c r="J95" s="108">
        <f t="shared" si="1"/>
        <v>8</v>
      </c>
    </row>
    <row r="96" spans="1:10" ht="15">
      <c r="A96" s="101" t="s">
        <v>266</v>
      </c>
      <c r="B96" s="45" t="s">
        <v>265</v>
      </c>
      <c r="C96" s="45" t="s">
        <v>254</v>
      </c>
      <c r="D96" s="102">
        <v>38971</v>
      </c>
      <c r="E96" s="52">
        <v>21</v>
      </c>
      <c r="F96" s="103"/>
      <c r="G96" s="103">
        <v>33</v>
      </c>
      <c r="H96" s="52">
        <v>20</v>
      </c>
      <c r="I96" s="104"/>
      <c r="J96" s="108">
        <f t="shared" si="1"/>
        <v>1</v>
      </c>
    </row>
    <row r="97" spans="1:10" ht="15">
      <c r="A97" s="101" t="s">
        <v>264</v>
      </c>
      <c r="B97" s="45" t="s">
        <v>263</v>
      </c>
      <c r="C97" s="45" t="s">
        <v>179</v>
      </c>
      <c r="D97" s="102">
        <v>39030</v>
      </c>
      <c r="E97" s="52">
        <v>19</v>
      </c>
      <c r="F97" s="103"/>
      <c r="G97" s="103">
        <v>30</v>
      </c>
      <c r="H97" s="52">
        <v>18</v>
      </c>
      <c r="I97" s="104"/>
      <c r="J97" s="108">
        <f t="shared" si="1"/>
        <v>1</v>
      </c>
    </row>
    <row r="98" spans="1:10" ht="15">
      <c r="A98" s="101" t="s">
        <v>262</v>
      </c>
      <c r="B98" s="45" t="s">
        <v>261</v>
      </c>
      <c r="C98" s="45" t="s">
        <v>254</v>
      </c>
      <c r="D98" s="102">
        <v>38975</v>
      </c>
      <c r="E98" s="52">
        <v>21</v>
      </c>
      <c r="F98" s="103"/>
      <c r="G98" s="103">
        <v>33</v>
      </c>
      <c r="H98" s="52">
        <v>19</v>
      </c>
      <c r="I98" s="109"/>
      <c r="J98" s="108">
        <f>(E98-H98)</f>
        <v>2</v>
      </c>
    </row>
    <row r="99" spans="1:12" s="111" customFormat="1" ht="15">
      <c r="A99" s="110" t="s">
        <v>260</v>
      </c>
      <c r="B99" s="111" t="s">
        <v>259</v>
      </c>
      <c r="C99" s="111" t="s">
        <v>254</v>
      </c>
      <c r="D99" s="112">
        <v>38975</v>
      </c>
      <c r="E99" s="113">
        <v>23.7</v>
      </c>
      <c r="F99" s="114"/>
      <c r="G99" s="114">
        <v>31.2</v>
      </c>
      <c r="H99" s="113">
        <v>19.6</v>
      </c>
      <c r="I99" s="115"/>
      <c r="J99" s="124">
        <f>(E99-H99)</f>
        <v>4.099999999999998</v>
      </c>
      <c r="K99" s="113"/>
      <c r="L99" s="113"/>
    </row>
    <row r="100" spans="1:13" ht="15">
      <c r="A100" s="101" t="s">
        <v>258</v>
      </c>
      <c r="B100" s="45" t="s">
        <v>257</v>
      </c>
      <c r="C100" s="45" t="s">
        <v>254</v>
      </c>
      <c r="D100" s="102">
        <v>38980</v>
      </c>
      <c r="E100" s="52">
        <v>16</v>
      </c>
      <c r="F100" s="103">
        <v>25</v>
      </c>
      <c r="G100" s="103">
        <v>28.5</v>
      </c>
      <c r="H100" s="52">
        <v>17</v>
      </c>
      <c r="I100" s="109">
        <f aca="true" t="shared" si="2" ref="I100:I113">(F100-G100)</f>
        <v>-3.5</v>
      </c>
      <c r="J100" s="108">
        <f aca="true" t="shared" si="3" ref="J100:J113">(E100-H100)</f>
        <v>-1</v>
      </c>
      <c r="K100" s="106">
        <f aca="true" t="shared" si="4" ref="K100:K113">(5000+19.25*F100)</f>
        <v>5481.25</v>
      </c>
      <c r="L100" s="106">
        <f aca="true" t="shared" si="5" ref="L100:L113">K100*0.235</f>
        <v>1288.09375</v>
      </c>
      <c r="M100" s="44" t="str">
        <f>_XLL.DECIMALE.HEX((L100-513)/1.3)</f>
        <v>254</v>
      </c>
    </row>
    <row r="101" spans="1:13" ht="15">
      <c r="A101" s="101" t="s">
        <v>256</v>
      </c>
      <c r="B101" s="45" t="s">
        <v>255</v>
      </c>
      <c r="C101" s="45" t="s">
        <v>254</v>
      </c>
      <c r="D101" s="102">
        <v>38980</v>
      </c>
      <c r="E101" s="52">
        <v>20</v>
      </c>
      <c r="F101" s="103">
        <v>29</v>
      </c>
      <c r="G101" s="103">
        <v>32.7</v>
      </c>
      <c r="H101" s="52">
        <v>18.5</v>
      </c>
      <c r="I101" s="109">
        <f t="shared" si="2"/>
        <v>-3.700000000000003</v>
      </c>
      <c r="J101" s="108">
        <f t="shared" si="3"/>
        <v>1.5</v>
      </c>
      <c r="K101" s="106">
        <f t="shared" si="4"/>
        <v>5558.25</v>
      </c>
      <c r="L101" s="106">
        <f t="shared" si="5"/>
        <v>1306.18875</v>
      </c>
      <c r="M101" s="44" t="str">
        <f>_XLL.DECIMALE.HEX((L101-513)/1.3)</f>
        <v>262</v>
      </c>
    </row>
    <row r="102" spans="1:13" ht="15">
      <c r="A102" s="101" t="s">
        <v>253</v>
      </c>
      <c r="B102" s="45" t="s">
        <v>252</v>
      </c>
      <c r="C102" s="45" t="s">
        <v>233</v>
      </c>
      <c r="D102" s="102">
        <v>38985</v>
      </c>
      <c r="E102" s="52">
        <v>20.6</v>
      </c>
      <c r="F102" s="103">
        <v>31.2</v>
      </c>
      <c r="G102" s="103">
        <v>34.3</v>
      </c>
      <c r="H102" s="52">
        <v>19.7</v>
      </c>
      <c r="I102" s="109">
        <f t="shared" si="2"/>
        <v>-3.099999999999998</v>
      </c>
      <c r="J102" s="108">
        <f t="shared" si="3"/>
        <v>0.9000000000000021</v>
      </c>
      <c r="K102" s="106">
        <f t="shared" si="4"/>
        <v>5600.6</v>
      </c>
      <c r="L102" s="106">
        <f t="shared" si="5"/>
        <v>1316.141</v>
      </c>
      <c r="M102" s="44" t="str">
        <f>_XLL.DECIMALE.HEX((L102-513)/1.3)</f>
        <v>269</v>
      </c>
    </row>
    <row r="103" spans="1:13" ht="15">
      <c r="A103" s="101" t="s">
        <v>251</v>
      </c>
      <c r="B103" s="45" t="s">
        <v>250</v>
      </c>
      <c r="C103" s="45" t="s">
        <v>233</v>
      </c>
      <c r="D103" s="102">
        <v>38985</v>
      </c>
      <c r="E103" s="52">
        <v>21.2</v>
      </c>
      <c r="F103" s="103">
        <v>25.8</v>
      </c>
      <c r="G103" s="103">
        <v>31.2</v>
      </c>
      <c r="H103" s="52">
        <v>18.3</v>
      </c>
      <c r="I103" s="109">
        <f t="shared" si="2"/>
        <v>-5.399999999999999</v>
      </c>
      <c r="J103" s="108">
        <f t="shared" si="3"/>
        <v>2.8999999999999986</v>
      </c>
      <c r="K103" s="106">
        <f t="shared" si="4"/>
        <v>5496.65</v>
      </c>
      <c r="L103" s="106">
        <f t="shared" si="5"/>
        <v>1291.71275</v>
      </c>
      <c r="M103" s="44" t="str">
        <f>_XLL.DECIMALE.HEX((L103-513)/1.3)</f>
        <v>257</v>
      </c>
    </row>
    <row r="104" spans="1:13" ht="15">
      <c r="A104" s="101" t="s">
        <v>249</v>
      </c>
      <c r="B104" s="45" t="s">
        <v>248</v>
      </c>
      <c r="C104" s="45" t="s">
        <v>179</v>
      </c>
      <c r="D104" s="102">
        <v>38999</v>
      </c>
      <c r="E104" s="52">
        <v>25</v>
      </c>
      <c r="F104" s="103">
        <v>32.6</v>
      </c>
      <c r="G104" s="103">
        <v>33</v>
      </c>
      <c r="H104" s="52">
        <v>24</v>
      </c>
      <c r="I104" s="109">
        <f t="shared" si="2"/>
        <v>-0.3999999999999986</v>
      </c>
      <c r="J104" s="108">
        <f t="shared" si="3"/>
        <v>1</v>
      </c>
      <c r="K104" s="106">
        <f t="shared" si="4"/>
        <v>5627.55</v>
      </c>
      <c r="L104" s="106">
        <f t="shared" si="5"/>
        <v>1322.47425</v>
      </c>
      <c r="M104" s="44" t="str">
        <f>_XLL.DECIMALE.HEX((L104-513)/1.3)</f>
        <v>26E</v>
      </c>
    </row>
    <row r="105" spans="1:13" ht="15">
      <c r="A105" s="101" t="s">
        <v>247</v>
      </c>
      <c r="B105" s="45" t="s">
        <v>246</v>
      </c>
      <c r="C105" s="45" t="s">
        <v>233</v>
      </c>
      <c r="D105" s="102">
        <v>38986</v>
      </c>
      <c r="E105" s="52">
        <v>25.4</v>
      </c>
      <c r="F105" s="103">
        <v>29.8</v>
      </c>
      <c r="G105" s="103">
        <v>35.6</v>
      </c>
      <c r="H105" s="52">
        <v>23.7</v>
      </c>
      <c r="I105" s="109">
        <f t="shared" si="2"/>
        <v>-5.800000000000001</v>
      </c>
      <c r="J105" s="108">
        <f t="shared" si="3"/>
        <v>1.6999999999999993</v>
      </c>
      <c r="K105" s="106">
        <f t="shared" si="4"/>
        <v>5573.65</v>
      </c>
      <c r="L105" s="106">
        <f t="shared" si="5"/>
        <v>1309.80775</v>
      </c>
      <c r="M105" s="44" t="str">
        <f>_XLL.DECIMALE.HEX((L105-513)/1.3)</f>
        <v>264</v>
      </c>
    </row>
    <row r="106" spans="1:13" ht="15">
      <c r="A106" s="101" t="s">
        <v>245</v>
      </c>
      <c r="B106" s="45" t="s">
        <v>244</v>
      </c>
      <c r="C106" s="45" t="s">
        <v>233</v>
      </c>
      <c r="D106" s="102">
        <v>38988</v>
      </c>
      <c r="E106" s="52">
        <v>19.3</v>
      </c>
      <c r="F106" s="103">
        <v>32</v>
      </c>
      <c r="G106" s="103">
        <v>33.6</v>
      </c>
      <c r="H106" s="52">
        <v>17.5</v>
      </c>
      <c r="I106" s="109">
        <f t="shared" si="2"/>
        <v>-1.6000000000000014</v>
      </c>
      <c r="J106" s="108">
        <f t="shared" si="3"/>
        <v>1.8000000000000007</v>
      </c>
      <c r="K106" s="106">
        <f t="shared" si="4"/>
        <v>5616</v>
      </c>
      <c r="L106" s="106">
        <f t="shared" si="5"/>
        <v>1319.76</v>
      </c>
      <c r="M106" s="44" t="str">
        <f>_XLL.DECIMALE.HEX((L106-513)/1.3)</f>
        <v>26C</v>
      </c>
    </row>
    <row r="107" spans="1:13" ht="15">
      <c r="A107" s="101" t="s">
        <v>243</v>
      </c>
      <c r="B107" s="45" t="s">
        <v>242</v>
      </c>
      <c r="C107" s="45" t="s">
        <v>233</v>
      </c>
      <c r="D107" s="102">
        <v>38994</v>
      </c>
      <c r="E107" s="52">
        <v>18</v>
      </c>
      <c r="F107" s="103">
        <v>24</v>
      </c>
      <c r="G107" s="103">
        <v>28</v>
      </c>
      <c r="H107" s="52">
        <v>18</v>
      </c>
      <c r="I107" s="109">
        <f t="shared" si="2"/>
        <v>-4</v>
      </c>
      <c r="J107" s="108">
        <f t="shared" si="3"/>
        <v>0</v>
      </c>
      <c r="K107" s="106">
        <f t="shared" si="4"/>
        <v>5462</v>
      </c>
      <c r="L107" s="106">
        <f t="shared" si="5"/>
        <v>1283.57</v>
      </c>
      <c r="M107" s="44" t="str">
        <f>_XLL.DECIMALE.HEX((L107-513)/1.3)</f>
        <v>250</v>
      </c>
    </row>
    <row r="108" spans="1:13" ht="15">
      <c r="A108" s="101" t="s">
        <v>241</v>
      </c>
      <c r="B108" s="45" t="s">
        <v>240</v>
      </c>
      <c r="C108" s="45" t="s">
        <v>233</v>
      </c>
      <c r="D108" s="102">
        <v>38994</v>
      </c>
      <c r="E108" s="52">
        <v>22</v>
      </c>
      <c r="F108" s="103">
        <v>30</v>
      </c>
      <c r="G108" s="103">
        <v>34</v>
      </c>
      <c r="H108" s="52">
        <v>20</v>
      </c>
      <c r="I108" s="109">
        <f t="shared" si="2"/>
        <v>-4</v>
      </c>
      <c r="J108" s="108">
        <f t="shared" si="3"/>
        <v>2</v>
      </c>
      <c r="K108" s="106">
        <f t="shared" si="4"/>
        <v>5577.5</v>
      </c>
      <c r="L108" s="106">
        <f t="shared" si="5"/>
        <v>1310.7124999999999</v>
      </c>
      <c r="M108" s="44" t="str">
        <f>_XLL.DECIMALE.HEX((L108-513)/1.3)</f>
        <v>265</v>
      </c>
    </row>
    <row r="109" spans="1:13" ht="15">
      <c r="A109" s="101" t="s">
        <v>239</v>
      </c>
      <c r="B109" s="45" t="s">
        <v>238</v>
      </c>
      <c r="C109" s="45" t="s">
        <v>233</v>
      </c>
      <c r="D109" s="102">
        <v>38994</v>
      </c>
      <c r="E109" s="52">
        <v>20</v>
      </c>
      <c r="F109" s="103">
        <v>29</v>
      </c>
      <c r="G109" s="103">
        <v>30</v>
      </c>
      <c r="H109" s="52">
        <v>19.8</v>
      </c>
      <c r="I109" s="109">
        <f t="shared" si="2"/>
        <v>-1</v>
      </c>
      <c r="J109" s="108">
        <f t="shared" si="3"/>
        <v>0.1999999999999993</v>
      </c>
      <c r="K109" s="106">
        <f t="shared" si="4"/>
        <v>5558.25</v>
      </c>
      <c r="L109" s="106">
        <f t="shared" si="5"/>
        <v>1306.18875</v>
      </c>
      <c r="M109" s="44" t="str">
        <f>_XLL.DECIMALE.HEX((L109-513)/1.3)</f>
        <v>262</v>
      </c>
    </row>
    <row r="110" spans="1:13" ht="15">
      <c r="A110" s="101" t="s">
        <v>237</v>
      </c>
      <c r="B110" s="45" t="s">
        <v>236</v>
      </c>
      <c r="C110" s="45" t="s">
        <v>233</v>
      </c>
      <c r="D110" s="102">
        <v>39003</v>
      </c>
      <c r="E110" s="52">
        <v>23</v>
      </c>
      <c r="F110" s="103">
        <v>31</v>
      </c>
      <c r="G110" s="103">
        <v>32</v>
      </c>
      <c r="H110" s="52">
        <v>22.6</v>
      </c>
      <c r="I110" s="109">
        <f t="shared" si="2"/>
        <v>-1</v>
      </c>
      <c r="J110" s="108">
        <f t="shared" si="3"/>
        <v>0.3999999999999986</v>
      </c>
      <c r="K110" s="106">
        <f t="shared" si="4"/>
        <v>5596.75</v>
      </c>
      <c r="L110" s="106">
        <f t="shared" si="5"/>
        <v>1315.23625</v>
      </c>
      <c r="M110" s="44" t="str">
        <f>_XLL.DECIMALE.HEX((L110-513)/1.3)</f>
        <v>269</v>
      </c>
    </row>
    <row r="111" spans="1:13" ht="15">
      <c r="A111" s="101" t="s">
        <v>235</v>
      </c>
      <c r="B111" s="45" t="s">
        <v>234</v>
      </c>
      <c r="C111" s="45" t="s">
        <v>233</v>
      </c>
      <c r="D111" s="102">
        <v>39003</v>
      </c>
      <c r="E111" s="52">
        <v>21</v>
      </c>
      <c r="F111" s="103">
        <v>23</v>
      </c>
      <c r="G111" s="103">
        <v>26</v>
      </c>
      <c r="H111" s="52">
        <v>18.5</v>
      </c>
      <c r="I111" s="109">
        <f t="shared" si="2"/>
        <v>-3</v>
      </c>
      <c r="J111" s="108">
        <f t="shared" si="3"/>
        <v>2.5</v>
      </c>
      <c r="K111" s="106">
        <f t="shared" si="4"/>
        <v>5442.75</v>
      </c>
      <c r="L111" s="106">
        <f t="shared" si="5"/>
        <v>1279.0462499999999</v>
      </c>
      <c r="M111" s="44" t="str">
        <f>_XLL.DECIMALE.HEX((L111-513)/1.3)</f>
        <v>24D</v>
      </c>
    </row>
    <row r="112" spans="1:13" ht="15">
      <c r="A112" s="101" t="s">
        <v>232</v>
      </c>
      <c r="B112" s="45" t="s">
        <v>231</v>
      </c>
      <c r="C112" s="45" t="s">
        <v>206</v>
      </c>
      <c r="D112" s="102">
        <v>39002</v>
      </c>
      <c r="E112" s="52">
        <v>23</v>
      </c>
      <c r="F112" s="103">
        <v>31.5</v>
      </c>
      <c r="G112" s="103">
        <v>33.6</v>
      </c>
      <c r="H112" s="52">
        <v>22</v>
      </c>
      <c r="I112" s="109">
        <f t="shared" si="2"/>
        <v>-2.1000000000000014</v>
      </c>
      <c r="J112" s="108">
        <f t="shared" si="3"/>
        <v>1</v>
      </c>
      <c r="K112" s="106">
        <f t="shared" si="4"/>
        <v>5606.375</v>
      </c>
      <c r="L112" s="106">
        <f t="shared" si="5"/>
        <v>1317.4981249999998</v>
      </c>
      <c r="M112" s="44" t="str">
        <f>_XLL.DECIMALE.HEX((L112-513)/1.3)</f>
        <v>26A</v>
      </c>
    </row>
    <row r="113" spans="1:13" ht="15">
      <c r="A113" s="101" t="s">
        <v>230</v>
      </c>
      <c r="B113" s="45" t="s">
        <v>229</v>
      </c>
      <c r="C113" s="45" t="s">
        <v>118</v>
      </c>
      <c r="D113" s="102">
        <v>39008</v>
      </c>
      <c r="E113" s="52">
        <v>21</v>
      </c>
      <c r="F113" s="103">
        <v>29</v>
      </c>
      <c r="G113" s="103">
        <v>30</v>
      </c>
      <c r="H113" s="52">
        <v>19</v>
      </c>
      <c r="I113" s="109">
        <f t="shared" si="2"/>
        <v>-1</v>
      </c>
      <c r="J113" s="108">
        <f t="shared" si="3"/>
        <v>2</v>
      </c>
      <c r="K113" s="106">
        <f t="shared" si="4"/>
        <v>5558.25</v>
      </c>
      <c r="L113" s="106">
        <f t="shared" si="5"/>
        <v>1306.18875</v>
      </c>
      <c r="M113" s="44" t="str">
        <f>_XLL.DECIMALE.HEX((L113-513)/1.3)</f>
        <v>262</v>
      </c>
    </row>
    <row r="114" spans="1:10" ht="15">
      <c r="A114" s="101" t="s">
        <v>228</v>
      </c>
      <c r="B114" s="45" t="s">
        <v>227</v>
      </c>
      <c r="C114" s="45" t="s">
        <v>184</v>
      </c>
      <c r="D114" s="102">
        <v>39014</v>
      </c>
      <c r="E114" s="52"/>
      <c r="F114" s="103"/>
      <c r="G114" s="103"/>
      <c r="H114" s="52"/>
      <c r="I114" s="109"/>
      <c r="J114" s="108"/>
    </row>
    <row r="115" spans="1:13" ht="15">
      <c r="A115" s="101" t="s">
        <v>226</v>
      </c>
      <c r="B115" s="45" t="s">
        <v>225</v>
      </c>
      <c r="C115" s="45" t="s">
        <v>206</v>
      </c>
      <c r="D115" s="102">
        <v>39010</v>
      </c>
      <c r="E115" s="52">
        <v>20</v>
      </c>
      <c r="F115" s="103">
        <v>28</v>
      </c>
      <c r="G115" s="103">
        <v>28</v>
      </c>
      <c r="H115" s="52">
        <v>18.7</v>
      </c>
      <c r="I115" s="109">
        <f aca="true" t="shared" si="6" ref="I115:I127">(F115-G115)</f>
        <v>0</v>
      </c>
      <c r="J115" s="108">
        <f aca="true" t="shared" si="7" ref="J115:J127">(E115-H115)</f>
        <v>1.3000000000000007</v>
      </c>
      <c r="K115" s="106">
        <f aca="true" t="shared" si="8" ref="K115:K127">(5000+19.25*F115)</f>
        <v>5539</v>
      </c>
      <c r="L115" s="106">
        <f aca="true" t="shared" si="9" ref="L115:L127">K115*0.235</f>
        <v>1301.665</v>
      </c>
      <c r="M115" s="44" t="str">
        <f>_XLL.DECIMALE.HEX((L115-513)/1.3)</f>
        <v>25E</v>
      </c>
    </row>
    <row r="116" spans="1:13" ht="15">
      <c r="A116" s="101" t="s">
        <v>224</v>
      </c>
      <c r="B116" s="45" t="s">
        <v>223</v>
      </c>
      <c r="C116" s="45" t="s">
        <v>206</v>
      </c>
      <c r="D116" s="102">
        <v>39015</v>
      </c>
      <c r="E116" s="52">
        <v>21</v>
      </c>
      <c r="F116" s="103">
        <v>29</v>
      </c>
      <c r="G116" s="103">
        <v>28.5</v>
      </c>
      <c r="H116" s="52">
        <v>18.3</v>
      </c>
      <c r="I116" s="109">
        <f t="shared" si="6"/>
        <v>0.5</v>
      </c>
      <c r="J116" s="108">
        <f t="shared" si="7"/>
        <v>2.6999999999999993</v>
      </c>
      <c r="K116" s="106">
        <f t="shared" si="8"/>
        <v>5558.25</v>
      </c>
      <c r="L116" s="106">
        <f t="shared" si="9"/>
        <v>1306.18875</v>
      </c>
      <c r="M116" s="44" t="str">
        <f>_XLL.DECIMALE.HEX((L116-513)/1.3)</f>
        <v>262</v>
      </c>
    </row>
    <row r="117" spans="1:13" ht="15">
      <c r="A117" s="101" t="s">
        <v>222</v>
      </c>
      <c r="B117" s="45" t="s">
        <v>221</v>
      </c>
      <c r="C117" s="45" t="s">
        <v>206</v>
      </c>
      <c r="D117" s="102">
        <v>39020</v>
      </c>
      <c r="E117" s="52">
        <v>19</v>
      </c>
      <c r="F117" s="103">
        <v>29</v>
      </c>
      <c r="G117" s="103">
        <v>28</v>
      </c>
      <c r="H117" s="52">
        <v>18.5</v>
      </c>
      <c r="I117" s="109">
        <f t="shared" si="6"/>
        <v>1</v>
      </c>
      <c r="J117" s="108">
        <f t="shared" si="7"/>
        <v>0.5</v>
      </c>
      <c r="K117" s="106">
        <f t="shared" si="8"/>
        <v>5558.25</v>
      </c>
      <c r="L117" s="106">
        <f t="shared" si="9"/>
        <v>1306.18875</v>
      </c>
      <c r="M117" s="44" t="str">
        <f>_XLL.DECIMALE.HEX((L117-513)/1.3)</f>
        <v>262</v>
      </c>
    </row>
    <row r="118" spans="1:13" ht="15">
      <c r="A118" s="101" t="s">
        <v>220</v>
      </c>
      <c r="B118" s="45" t="s">
        <v>219</v>
      </c>
      <c r="C118" s="45" t="s">
        <v>206</v>
      </c>
      <c r="D118" s="102">
        <v>39023</v>
      </c>
      <c r="E118" s="52">
        <v>20</v>
      </c>
      <c r="F118" s="103">
        <v>30</v>
      </c>
      <c r="G118" s="103">
        <v>29</v>
      </c>
      <c r="H118" s="52">
        <v>18.3</v>
      </c>
      <c r="I118" s="109">
        <f t="shared" si="6"/>
        <v>1</v>
      </c>
      <c r="J118" s="108">
        <f t="shared" si="7"/>
        <v>1.6999999999999993</v>
      </c>
      <c r="K118" s="106">
        <f t="shared" si="8"/>
        <v>5577.5</v>
      </c>
      <c r="L118" s="106">
        <f t="shared" si="9"/>
        <v>1310.7124999999999</v>
      </c>
      <c r="M118" s="44" t="str">
        <f>_XLL.DECIMALE.HEX((L118-513)/1.3)</f>
        <v>265</v>
      </c>
    </row>
    <row r="119" spans="1:13" ht="15">
      <c r="A119" s="101" t="s">
        <v>218</v>
      </c>
      <c r="B119" s="45" t="s">
        <v>217</v>
      </c>
      <c r="C119" s="45" t="s">
        <v>206</v>
      </c>
      <c r="D119" s="102">
        <v>39021</v>
      </c>
      <c r="E119" s="52">
        <v>19</v>
      </c>
      <c r="F119" s="103">
        <v>25</v>
      </c>
      <c r="G119" s="103">
        <v>25.7</v>
      </c>
      <c r="H119" s="52">
        <v>18.5</v>
      </c>
      <c r="I119" s="109">
        <f t="shared" si="6"/>
        <v>-0.6999999999999993</v>
      </c>
      <c r="J119" s="108">
        <f t="shared" si="7"/>
        <v>0.5</v>
      </c>
      <c r="K119" s="106">
        <f t="shared" si="8"/>
        <v>5481.25</v>
      </c>
      <c r="L119" s="106">
        <f t="shared" si="9"/>
        <v>1288.09375</v>
      </c>
      <c r="M119" s="44" t="str">
        <f>_XLL.DECIMALE.HEX((L119-513)/1.3)</f>
        <v>254</v>
      </c>
    </row>
    <row r="120" spans="1:13" ht="15">
      <c r="A120" s="101" t="s">
        <v>216</v>
      </c>
      <c r="B120" s="45" t="s">
        <v>215</v>
      </c>
      <c r="C120" s="45" t="s">
        <v>206</v>
      </c>
      <c r="D120" s="102">
        <v>39024</v>
      </c>
      <c r="E120" s="52">
        <v>19</v>
      </c>
      <c r="F120" s="103">
        <v>22</v>
      </c>
      <c r="G120" s="103">
        <v>26.5</v>
      </c>
      <c r="H120" s="52">
        <v>18</v>
      </c>
      <c r="I120" s="109">
        <f t="shared" si="6"/>
        <v>-4.5</v>
      </c>
      <c r="J120" s="108">
        <f t="shared" si="7"/>
        <v>1</v>
      </c>
      <c r="K120" s="106">
        <f t="shared" si="8"/>
        <v>5423.5</v>
      </c>
      <c r="L120" s="106">
        <f t="shared" si="9"/>
        <v>1274.5225</v>
      </c>
      <c r="M120" s="44" t="str">
        <f>_XLL.DECIMALE.HEX((L120-513)/1.3)</f>
        <v>249</v>
      </c>
    </row>
    <row r="121" spans="1:13" ht="15">
      <c r="A121" s="101" t="s">
        <v>214</v>
      </c>
      <c r="B121" s="45" t="s">
        <v>213</v>
      </c>
      <c r="C121" s="45" t="s">
        <v>206</v>
      </c>
      <c r="D121" s="102">
        <v>39027</v>
      </c>
      <c r="E121" s="52">
        <v>20</v>
      </c>
      <c r="F121" s="103">
        <v>29</v>
      </c>
      <c r="G121" s="103">
        <v>27.8</v>
      </c>
      <c r="H121" s="52">
        <v>18.4</v>
      </c>
      <c r="I121" s="109">
        <f t="shared" si="6"/>
        <v>1.1999999999999993</v>
      </c>
      <c r="J121" s="108">
        <f t="shared" si="7"/>
        <v>1.6000000000000014</v>
      </c>
      <c r="K121" s="106">
        <f t="shared" si="8"/>
        <v>5558.25</v>
      </c>
      <c r="L121" s="106">
        <f t="shared" si="9"/>
        <v>1306.18875</v>
      </c>
      <c r="M121" s="44" t="str">
        <f>_XLL.DECIMALE.HEX((L121-513)/1.3)</f>
        <v>262</v>
      </c>
    </row>
    <row r="122" spans="1:13" ht="15">
      <c r="A122" s="101" t="s">
        <v>212</v>
      </c>
      <c r="B122" s="45" t="s">
        <v>211</v>
      </c>
      <c r="C122" s="45" t="s">
        <v>206</v>
      </c>
      <c r="D122" s="102">
        <v>39027</v>
      </c>
      <c r="E122" s="52">
        <v>18</v>
      </c>
      <c r="F122" s="103">
        <v>26</v>
      </c>
      <c r="G122" s="103">
        <v>27.8</v>
      </c>
      <c r="H122" s="52">
        <v>18.2</v>
      </c>
      <c r="I122" s="109">
        <f t="shared" si="6"/>
        <v>-1.8000000000000007</v>
      </c>
      <c r="J122" s="108">
        <f t="shared" si="7"/>
        <v>-0.1999999999999993</v>
      </c>
      <c r="K122" s="106">
        <f t="shared" si="8"/>
        <v>5500.5</v>
      </c>
      <c r="L122" s="106">
        <f t="shared" si="9"/>
        <v>1292.6174999999998</v>
      </c>
      <c r="M122" s="44" t="str">
        <f>_XLL.DECIMALE.HEX((L122-513)/1.3)</f>
        <v>257</v>
      </c>
    </row>
    <row r="123" spans="1:13" ht="15">
      <c r="A123" s="101" t="s">
        <v>210</v>
      </c>
      <c r="B123" s="45" t="s">
        <v>209</v>
      </c>
      <c r="C123" s="45" t="s">
        <v>206</v>
      </c>
      <c r="D123" s="102">
        <v>39029</v>
      </c>
      <c r="E123" s="52">
        <v>19</v>
      </c>
      <c r="F123" s="103">
        <v>28</v>
      </c>
      <c r="G123" s="103">
        <v>27</v>
      </c>
      <c r="H123" s="52">
        <v>18.5</v>
      </c>
      <c r="I123" s="109">
        <f t="shared" si="6"/>
        <v>1</v>
      </c>
      <c r="J123" s="108">
        <f t="shared" si="7"/>
        <v>0.5</v>
      </c>
      <c r="K123" s="106">
        <f t="shared" si="8"/>
        <v>5539</v>
      </c>
      <c r="L123" s="106">
        <f t="shared" si="9"/>
        <v>1301.665</v>
      </c>
      <c r="M123" s="44" t="str">
        <f>_XLL.DECIMALE.HEX((L123-513)/1.3)</f>
        <v>25E</v>
      </c>
    </row>
    <row r="124" spans="1:13" ht="15">
      <c r="A124" s="101" t="s">
        <v>208</v>
      </c>
      <c r="B124" s="45" t="s">
        <v>207</v>
      </c>
      <c r="C124" s="45" t="s">
        <v>206</v>
      </c>
      <c r="D124" s="102">
        <v>39029</v>
      </c>
      <c r="E124" s="52">
        <v>18</v>
      </c>
      <c r="F124" s="103">
        <v>32</v>
      </c>
      <c r="G124" s="103">
        <v>28.5</v>
      </c>
      <c r="H124" s="52">
        <v>18.5</v>
      </c>
      <c r="I124" s="109">
        <f t="shared" si="6"/>
        <v>3.5</v>
      </c>
      <c r="J124" s="108">
        <f t="shared" si="7"/>
        <v>-0.5</v>
      </c>
      <c r="K124" s="106">
        <f t="shared" si="8"/>
        <v>5616</v>
      </c>
      <c r="L124" s="106">
        <f t="shared" si="9"/>
        <v>1319.76</v>
      </c>
      <c r="M124" s="44" t="str">
        <f>_XLL.DECIMALE.HEX((L124-513)/1.3)</f>
        <v>26C</v>
      </c>
    </row>
    <row r="125" spans="1:13" ht="15">
      <c r="A125" s="101" t="s">
        <v>205</v>
      </c>
      <c r="B125" s="45" t="s">
        <v>204</v>
      </c>
      <c r="C125" s="45" t="s">
        <v>179</v>
      </c>
      <c r="D125" s="102">
        <v>39031</v>
      </c>
      <c r="E125" s="52">
        <v>18</v>
      </c>
      <c r="F125" s="103">
        <v>29</v>
      </c>
      <c r="G125" s="103">
        <v>28.6</v>
      </c>
      <c r="H125" s="52">
        <v>18.7</v>
      </c>
      <c r="I125" s="109">
        <f t="shared" si="6"/>
        <v>0.3999999999999986</v>
      </c>
      <c r="J125" s="108">
        <f t="shared" si="7"/>
        <v>-0.6999999999999993</v>
      </c>
      <c r="K125" s="106">
        <f t="shared" si="8"/>
        <v>5558.25</v>
      </c>
      <c r="L125" s="106">
        <f t="shared" si="9"/>
        <v>1306.18875</v>
      </c>
      <c r="M125" s="44" t="str">
        <f>_XLL.DECIMALE.HEX((L125-513)/1.3)</f>
        <v>262</v>
      </c>
    </row>
    <row r="126" spans="1:13" ht="15">
      <c r="A126" s="101" t="s">
        <v>203</v>
      </c>
      <c r="B126" s="45" t="s">
        <v>202</v>
      </c>
      <c r="C126" s="45" t="s">
        <v>179</v>
      </c>
      <c r="D126" s="102">
        <v>39037</v>
      </c>
      <c r="E126" s="52">
        <v>20</v>
      </c>
      <c r="F126" s="103">
        <v>25</v>
      </c>
      <c r="G126" s="103">
        <v>26.6</v>
      </c>
      <c r="H126" s="52">
        <v>18.4</v>
      </c>
      <c r="I126" s="109">
        <f t="shared" si="6"/>
        <v>-1.6000000000000014</v>
      </c>
      <c r="J126" s="108">
        <f t="shared" si="7"/>
        <v>1.6000000000000014</v>
      </c>
      <c r="K126" s="106">
        <f t="shared" si="8"/>
        <v>5481.25</v>
      </c>
      <c r="L126" s="106">
        <f t="shared" si="9"/>
        <v>1288.09375</v>
      </c>
      <c r="M126" s="44" t="str">
        <f>_XLL.DECIMALE.HEX((L126-513)/1.3)</f>
        <v>254</v>
      </c>
    </row>
    <row r="127" spans="1:13" ht="15">
      <c r="A127" s="101" t="s">
        <v>201</v>
      </c>
      <c r="B127" s="45" t="s">
        <v>200</v>
      </c>
      <c r="C127" s="45" t="s">
        <v>179</v>
      </c>
      <c r="D127" s="102">
        <v>39037</v>
      </c>
      <c r="E127" s="52">
        <v>21</v>
      </c>
      <c r="F127" s="103">
        <v>29</v>
      </c>
      <c r="G127" s="103">
        <v>28.4</v>
      </c>
      <c r="H127" s="52">
        <v>18.4</v>
      </c>
      <c r="I127" s="109">
        <f t="shared" si="6"/>
        <v>0.6000000000000014</v>
      </c>
      <c r="J127" s="108">
        <f t="shared" si="7"/>
        <v>2.6000000000000014</v>
      </c>
      <c r="K127" s="106">
        <f t="shared" si="8"/>
        <v>5558.25</v>
      </c>
      <c r="L127" s="106">
        <f t="shared" si="9"/>
        <v>1306.18875</v>
      </c>
      <c r="M127" s="44" t="str">
        <f>_XLL.DECIMALE.HEX((L127-513)/1.3)</f>
        <v>262</v>
      </c>
    </row>
    <row r="128" spans="1:10" ht="15">
      <c r="A128" s="101" t="s">
        <v>199</v>
      </c>
      <c r="B128" s="45" t="s">
        <v>198</v>
      </c>
      <c r="C128" s="45" t="s">
        <v>197</v>
      </c>
      <c r="D128" s="102">
        <v>39041</v>
      </c>
      <c r="E128" s="52"/>
      <c r="F128" s="103"/>
      <c r="G128" s="103"/>
      <c r="H128" s="52"/>
      <c r="I128" s="109"/>
      <c r="J128" s="108"/>
    </row>
    <row r="129" spans="1:13" ht="15">
      <c r="A129" s="101" t="s">
        <v>196</v>
      </c>
      <c r="B129" s="45" t="s">
        <v>195</v>
      </c>
      <c r="C129" s="45" t="s">
        <v>179</v>
      </c>
      <c r="D129" s="102">
        <v>39051</v>
      </c>
      <c r="E129" s="52">
        <v>22</v>
      </c>
      <c r="F129" s="103">
        <v>27</v>
      </c>
      <c r="G129" s="103">
        <v>27.2</v>
      </c>
      <c r="H129" s="52">
        <v>18.6</v>
      </c>
      <c r="I129" s="109">
        <f>(F129-G129)</f>
        <v>-0.1999999999999993</v>
      </c>
      <c r="J129" s="108">
        <f>(E129-H129)</f>
        <v>3.3999999999999986</v>
      </c>
      <c r="K129" s="106">
        <f>(5000+19.25*F129)</f>
        <v>5519.75</v>
      </c>
      <c r="L129" s="106">
        <f>K129*0.235</f>
        <v>1297.14125</v>
      </c>
      <c r="M129" s="44" t="str">
        <f>_XLL.DECIMALE.HEX((L129-513)/1.3)</f>
        <v>25B</v>
      </c>
    </row>
    <row r="130" spans="1:13" ht="15">
      <c r="A130" s="101" t="s">
        <v>194</v>
      </c>
      <c r="B130" s="45" t="s">
        <v>193</v>
      </c>
      <c r="C130" s="45" t="s">
        <v>179</v>
      </c>
      <c r="D130" s="102">
        <v>39038</v>
      </c>
      <c r="E130" s="52">
        <v>21</v>
      </c>
      <c r="F130" s="103">
        <v>28</v>
      </c>
      <c r="G130" s="103">
        <v>28.1</v>
      </c>
      <c r="H130" s="52">
        <v>18.1</v>
      </c>
      <c r="I130" s="109">
        <f>(F130-G130)</f>
        <v>-0.10000000000000142</v>
      </c>
      <c r="J130" s="108">
        <f>(E130-H130)</f>
        <v>2.8999999999999986</v>
      </c>
      <c r="K130" s="106">
        <f>(5000+19.25*F130)</f>
        <v>5539</v>
      </c>
      <c r="L130" s="106">
        <f>K130*0.235</f>
        <v>1301.665</v>
      </c>
      <c r="M130" s="44" t="str">
        <f>_XLL.DECIMALE.HEX((L130-513)/1.3)</f>
        <v>25E</v>
      </c>
    </row>
    <row r="131" spans="1:13" ht="15">
      <c r="A131" s="101" t="s">
        <v>192</v>
      </c>
      <c r="B131" s="45" t="s">
        <v>191</v>
      </c>
      <c r="C131" s="45" t="s">
        <v>179</v>
      </c>
      <c r="D131" s="102">
        <v>39052</v>
      </c>
      <c r="E131" s="52">
        <v>27</v>
      </c>
      <c r="F131" s="103">
        <v>31</v>
      </c>
      <c r="G131" s="103">
        <v>29.3</v>
      </c>
      <c r="H131" s="52">
        <v>18.4</v>
      </c>
      <c r="I131" s="109">
        <f>(F131-G131)</f>
        <v>1.6999999999999993</v>
      </c>
      <c r="J131" s="108">
        <f>(E131-H131)</f>
        <v>8.600000000000001</v>
      </c>
      <c r="K131" s="106">
        <f>(5000+19.25*F131)</f>
        <v>5596.75</v>
      </c>
      <c r="L131" s="106">
        <f>K131*0.235</f>
        <v>1315.23625</v>
      </c>
      <c r="M131" s="44" t="str">
        <f>_XLL.DECIMALE.HEX((L131-513)/1.3)</f>
        <v>269</v>
      </c>
    </row>
    <row r="132" spans="1:13" ht="15">
      <c r="A132" s="101" t="s">
        <v>190</v>
      </c>
      <c r="B132" s="45" t="s">
        <v>189</v>
      </c>
      <c r="C132" s="45" t="s">
        <v>179</v>
      </c>
      <c r="D132" s="102">
        <v>39050</v>
      </c>
      <c r="E132" s="52">
        <v>20</v>
      </c>
      <c r="F132" s="103">
        <v>27</v>
      </c>
      <c r="G132" s="103">
        <v>27.5</v>
      </c>
      <c r="H132" s="52">
        <v>18.5</v>
      </c>
      <c r="I132" s="109">
        <f>(F132-G132)</f>
        <v>-0.5</v>
      </c>
      <c r="J132" s="108">
        <f>(E132-H132)</f>
        <v>1.5</v>
      </c>
      <c r="K132" s="106">
        <f>(5000+19.25*F132)</f>
        <v>5519.75</v>
      </c>
      <c r="L132" s="106">
        <f>K132*0.235</f>
        <v>1297.14125</v>
      </c>
      <c r="M132" s="44" t="str">
        <f>_XLL.DECIMALE.HEX((L132-513)/1.3)</f>
        <v>25B</v>
      </c>
    </row>
    <row r="133" spans="1:13" ht="15">
      <c r="A133" s="101" t="s">
        <v>188</v>
      </c>
      <c r="B133" s="45" t="s">
        <v>187</v>
      </c>
      <c r="C133" s="45" t="s">
        <v>179</v>
      </c>
      <c r="D133" s="102">
        <v>39052</v>
      </c>
      <c r="E133" s="52">
        <v>19</v>
      </c>
      <c r="F133" s="103">
        <v>24</v>
      </c>
      <c r="G133" s="103">
        <v>25.3</v>
      </c>
      <c r="H133" s="52">
        <v>18.4</v>
      </c>
      <c r="I133" s="109">
        <f>(F133-G133)</f>
        <v>-1.3000000000000007</v>
      </c>
      <c r="J133" s="108">
        <f>(E133-H133)</f>
        <v>0.6000000000000014</v>
      </c>
      <c r="K133" s="106">
        <f>(5000+19.25*F133)</f>
        <v>5462</v>
      </c>
      <c r="L133" s="106">
        <f>K133*0.235</f>
        <v>1283.57</v>
      </c>
      <c r="M133" s="44" t="str">
        <f>_XLL.DECIMALE.HEX((L133-513)/1.3)</f>
        <v>250</v>
      </c>
    </row>
    <row r="134" spans="1:10" ht="15">
      <c r="A134" s="101" t="s">
        <v>186</v>
      </c>
      <c r="B134" s="45" t="s">
        <v>185</v>
      </c>
      <c r="C134" s="45" t="s">
        <v>184</v>
      </c>
      <c r="D134" s="102">
        <v>39055</v>
      </c>
      <c r="E134" s="52"/>
      <c r="F134" s="103"/>
      <c r="G134" s="103"/>
      <c r="H134" s="52"/>
      <c r="I134" s="109"/>
      <c r="J134" s="108"/>
    </row>
    <row r="135" spans="1:13" ht="15">
      <c r="A135" s="101" t="s">
        <v>183</v>
      </c>
      <c r="B135" s="45" t="s">
        <v>182</v>
      </c>
      <c r="C135" s="45" t="s">
        <v>179</v>
      </c>
      <c r="D135" s="102">
        <v>39056</v>
      </c>
      <c r="E135" s="52">
        <v>20</v>
      </c>
      <c r="F135" s="103">
        <v>28</v>
      </c>
      <c r="G135" s="103">
        <v>27.5</v>
      </c>
      <c r="H135" s="52">
        <v>18.5</v>
      </c>
      <c r="I135" s="109">
        <f aca="true" t="shared" si="10" ref="I135:I141">(F135-G135)</f>
        <v>0.5</v>
      </c>
      <c r="J135" s="108">
        <f aca="true" t="shared" si="11" ref="J135:J141">(E135-H135)</f>
        <v>1.5</v>
      </c>
      <c r="K135" s="106">
        <f aca="true" t="shared" si="12" ref="K135:K141">(5000+19.25*F135)</f>
        <v>5539</v>
      </c>
      <c r="L135" s="106">
        <f aca="true" t="shared" si="13" ref="L135:L141">K135*0.235</f>
        <v>1301.665</v>
      </c>
      <c r="M135" s="44" t="str">
        <f>_XLL.DECIMALE.HEX((L135-513)/1.3)</f>
        <v>25E</v>
      </c>
    </row>
    <row r="136" spans="1:13" ht="15">
      <c r="A136" s="101" t="s">
        <v>181</v>
      </c>
      <c r="B136" s="45" t="s">
        <v>180</v>
      </c>
      <c r="C136" s="45" t="s">
        <v>179</v>
      </c>
      <c r="D136" s="102">
        <v>39057</v>
      </c>
      <c r="E136" s="52">
        <v>21</v>
      </c>
      <c r="F136" s="103">
        <v>26</v>
      </c>
      <c r="G136" s="103">
        <v>30</v>
      </c>
      <c r="H136" s="52">
        <v>18.5</v>
      </c>
      <c r="I136" s="109">
        <f t="shared" si="10"/>
        <v>-4</v>
      </c>
      <c r="J136" s="108">
        <f t="shared" si="11"/>
        <v>2.5</v>
      </c>
      <c r="K136" s="106">
        <f t="shared" si="12"/>
        <v>5500.5</v>
      </c>
      <c r="L136" s="106">
        <f t="shared" si="13"/>
        <v>1292.6174999999998</v>
      </c>
      <c r="M136" s="44" t="str">
        <f>_XLL.DECIMALE.HEX((L136-513)/1.3)</f>
        <v>257</v>
      </c>
    </row>
    <row r="137" spans="1:13" ht="15">
      <c r="A137" s="101" t="s">
        <v>178</v>
      </c>
      <c r="B137" s="45" t="s">
        <v>177</v>
      </c>
      <c r="C137" s="45" t="s">
        <v>148</v>
      </c>
      <c r="D137" s="102">
        <v>39062</v>
      </c>
      <c r="E137" s="52">
        <v>21.5</v>
      </c>
      <c r="F137" s="103">
        <v>27.5</v>
      </c>
      <c r="G137" s="103">
        <v>27.5</v>
      </c>
      <c r="H137" s="52">
        <v>18.5</v>
      </c>
      <c r="I137" s="109">
        <f t="shared" si="10"/>
        <v>0</v>
      </c>
      <c r="J137" s="108">
        <f t="shared" si="11"/>
        <v>3</v>
      </c>
      <c r="K137" s="106">
        <f t="shared" si="12"/>
        <v>5529.375</v>
      </c>
      <c r="L137" s="106">
        <f t="shared" si="13"/>
        <v>1299.4031249999998</v>
      </c>
      <c r="M137" s="44" t="str">
        <f>_XLL.DECIMALE.HEX((L137-513)/1.3)</f>
        <v>25C</v>
      </c>
    </row>
    <row r="138" spans="1:13" ht="15">
      <c r="A138" s="101" t="s">
        <v>176</v>
      </c>
      <c r="B138" s="45" t="s">
        <v>175</v>
      </c>
      <c r="C138" s="45" t="s">
        <v>148</v>
      </c>
      <c r="D138" s="102">
        <v>39062</v>
      </c>
      <c r="E138" s="52">
        <v>20</v>
      </c>
      <c r="F138" s="103">
        <v>22</v>
      </c>
      <c r="G138" s="103">
        <v>24.2</v>
      </c>
      <c r="H138" s="52">
        <v>18.4</v>
      </c>
      <c r="I138" s="109">
        <f t="shared" si="10"/>
        <v>-2.1999999999999993</v>
      </c>
      <c r="J138" s="108">
        <f t="shared" si="11"/>
        <v>1.6000000000000014</v>
      </c>
      <c r="K138" s="106">
        <f t="shared" si="12"/>
        <v>5423.5</v>
      </c>
      <c r="L138" s="106">
        <f t="shared" si="13"/>
        <v>1274.5225</v>
      </c>
      <c r="M138" s="44" t="str">
        <f>_XLL.DECIMALE.HEX((L138-513)/1.3)</f>
        <v>249</v>
      </c>
    </row>
    <row r="139" spans="1:13" ht="15">
      <c r="A139" s="101" t="s">
        <v>174</v>
      </c>
      <c r="B139" s="45" t="s">
        <v>173</v>
      </c>
      <c r="C139" s="45" t="s">
        <v>148</v>
      </c>
      <c r="D139" s="102">
        <v>39064</v>
      </c>
      <c r="E139" s="52">
        <v>19</v>
      </c>
      <c r="F139" s="103">
        <v>23</v>
      </c>
      <c r="G139" s="103">
        <v>25</v>
      </c>
      <c r="H139" s="52">
        <v>18.4</v>
      </c>
      <c r="I139" s="109">
        <f t="shared" si="10"/>
        <v>-2</v>
      </c>
      <c r="J139" s="108">
        <f t="shared" si="11"/>
        <v>0.6000000000000014</v>
      </c>
      <c r="K139" s="106">
        <f t="shared" si="12"/>
        <v>5442.75</v>
      </c>
      <c r="L139" s="106">
        <f t="shared" si="13"/>
        <v>1279.0462499999999</v>
      </c>
      <c r="M139" s="44" t="str">
        <f>_XLL.DECIMALE.HEX((L139-513)/1.3)</f>
        <v>24D</v>
      </c>
    </row>
    <row r="140" spans="1:13" ht="15">
      <c r="A140" s="101" t="s">
        <v>172</v>
      </c>
      <c r="B140" s="45" t="s">
        <v>171</v>
      </c>
      <c r="C140" s="45" t="s">
        <v>148</v>
      </c>
      <c r="D140" s="102">
        <v>39065</v>
      </c>
      <c r="E140" s="52">
        <v>19</v>
      </c>
      <c r="F140" s="103">
        <v>28</v>
      </c>
      <c r="G140" s="103">
        <v>28</v>
      </c>
      <c r="H140" s="52">
        <v>18.3</v>
      </c>
      <c r="I140" s="109">
        <f t="shared" si="10"/>
        <v>0</v>
      </c>
      <c r="J140" s="108">
        <f t="shared" si="11"/>
        <v>0.6999999999999993</v>
      </c>
      <c r="K140" s="106">
        <f t="shared" si="12"/>
        <v>5539</v>
      </c>
      <c r="L140" s="106">
        <f t="shared" si="13"/>
        <v>1301.665</v>
      </c>
      <c r="M140" s="44" t="str">
        <f>_XLL.DECIMALE.HEX((L140-513)/1.3)</f>
        <v>25E</v>
      </c>
    </row>
    <row r="141" spans="1:13" ht="15">
      <c r="A141" s="101" t="s">
        <v>170</v>
      </c>
      <c r="B141" s="45" t="s">
        <v>169</v>
      </c>
      <c r="C141" s="45" t="s">
        <v>148</v>
      </c>
      <c r="D141" s="102">
        <v>39070</v>
      </c>
      <c r="E141" s="52">
        <v>18</v>
      </c>
      <c r="F141" s="103">
        <v>25</v>
      </c>
      <c r="G141" s="103">
        <v>25.6</v>
      </c>
      <c r="H141" s="52">
        <v>18.3</v>
      </c>
      <c r="I141" s="109">
        <f t="shared" si="10"/>
        <v>-0.6000000000000014</v>
      </c>
      <c r="J141" s="108">
        <f t="shared" si="11"/>
        <v>-0.3000000000000007</v>
      </c>
      <c r="K141" s="106">
        <f t="shared" si="12"/>
        <v>5481.25</v>
      </c>
      <c r="L141" s="106">
        <f t="shared" si="13"/>
        <v>1288.09375</v>
      </c>
      <c r="M141" s="44" t="str">
        <f>_XLL.DECIMALE.HEX((L141-513)/1.3)</f>
        <v>254</v>
      </c>
    </row>
    <row r="142" spans="1:10" ht="15">
      <c r="A142" s="101" t="s">
        <v>168</v>
      </c>
      <c r="B142" s="45" t="s">
        <v>167</v>
      </c>
      <c r="C142" s="45" t="s">
        <v>166</v>
      </c>
      <c r="D142" s="102">
        <v>39079</v>
      </c>
      <c r="E142" s="52"/>
      <c r="F142" s="103"/>
      <c r="G142" s="103"/>
      <c r="H142" s="52"/>
      <c r="I142" s="109"/>
      <c r="J142" s="108"/>
    </row>
    <row r="143" spans="1:13" ht="15">
      <c r="A143" s="101" t="s">
        <v>165</v>
      </c>
      <c r="B143" s="45" t="s">
        <v>164</v>
      </c>
      <c r="C143" s="45" t="s">
        <v>148</v>
      </c>
      <c r="D143" s="102">
        <v>39070</v>
      </c>
      <c r="E143" s="52">
        <v>19</v>
      </c>
      <c r="F143" s="103">
        <v>25</v>
      </c>
      <c r="G143" s="103">
        <v>27.5</v>
      </c>
      <c r="H143" s="52">
        <v>18.3</v>
      </c>
      <c r="I143" s="109">
        <f aca="true" t="shared" si="14" ref="I143:I164">(F143-G143)</f>
        <v>-2.5</v>
      </c>
      <c r="J143" s="108">
        <f aca="true" t="shared" si="15" ref="J143:J164">(E143-H143)</f>
        <v>0.6999999999999993</v>
      </c>
      <c r="K143" s="106">
        <f aca="true" t="shared" si="16" ref="K143:K164">(5000+19.25*F143)</f>
        <v>5481.25</v>
      </c>
      <c r="L143" s="106">
        <f aca="true" t="shared" si="17" ref="L143:L164">K143*0.235</f>
        <v>1288.09375</v>
      </c>
      <c r="M143" s="44" t="str">
        <f>_XLL.DECIMALE.HEX((L143-513)/1.3)</f>
        <v>254</v>
      </c>
    </row>
    <row r="144" spans="1:13" ht="15">
      <c r="A144" s="101" t="s">
        <v>163</v>
      </c>
      <c r="B144" s="45" t="s">
        <v>162</v>
      </c>
      <c r="C144" s="45" t="s">
        <v>148</v>
      </c>
      <c r="D144" s="102">
        <v>39071</v>
      </c>
      <c r="E144" s="52">
        <v>20</v>
      </c>
      <c r="F144" s="103">
        <v>27</v>
      </c>
      <c r="G144" s="103">
        <v>27.5</v>
      </c>
      <c r="H144" s="52">
        <v>18.3</v>
      </c>
      <c r="I144" s="109">
        <f t="shared" si="14"/>
        <v>-0.5</v>
      </c>
      <c r="J144" s="108">
        <f t="shared" si="15"/>
        <v>1.6999999999999993</v>
      </c>
      <c r="K144" s="106">
        <f t="shared" si="16"/>
        <v>5519.75</v>
      </c>
      <c r="L144" s="106">
        <f t="shared" si="17"/>
        <v>1297.14125</v>
      </c>
      <c r="M144" s="44" t="str">
        <f>_XLL.DECIMALE.HEX((L144-513)/1.3)</f>
        <v>25B</v>
      </c>
    </row>
    <row r="145" spans="1:13" ht="15">
      <c r="A145" s="101" t="s">
        <v>161</v>
      </c>
      <c r="B145" s="45" t="s">
        <v>160</v>
      </c>
      <c r="C145" s="45" t="s">
        <v>159</v>
      </c>
      <c r="D145" s="102">
        <v>39086</v>
      </c>
      <c r="E145" s="52"/>
      <c r="F145" s="103"/>
      <c r="G145" s="103"/>
      <c r="H145" s="52"/>
      <c r="I145" s="109">
        <f t="shared" si="14"/>
        <v>0</v>
      </c>
      <c r="J145" s="108">
        <f t="shared" si="15"/>
        <v>0</v>
      </c>
      <c r="K145" s="106">
        <f t="shared" si="16"/>
        <v>5000</v>
      </c>
      <c r="L145" s="106">
        <f t="shared" si="17"/>
        <v>1175</v>
      </c>
      <c r="M145" s="44" t="str">
        <f>_XLL.DECIMALE.HEX((L145-513)/1.3)</f>
        <v>1FD</v>
      </c>
    </row>
    <row r="146" spans="1:13" ht="15">
      <c r="A146" s="101" t="s">
        <v>158</v>
      </c>
      <c r="B146" s="45" t="s">
        <v>157</v>
      </c>
      <c r="C146" s="45" t="s">
        <v>148</v>
      </c>
      <c r="D146" s="102">
        <v>39091</v>
      </c>
      <c r="E146" s="52">
        <v>19</v>
      </c>
      <c r="F146" s="103">
        <v>28</v>
      </c>
      <c r="G146" s="103">
        <v>26.1</v>
      </c>
      <c r="H146" s="52">
        <v>18.5</v>
      </c>
      <c r="I146" s="109">
        <f t="shared" si="14"/>
        <v>1.8999999999999986</v>
      </c>
      <c r="J146" s="108">
        <f t="shared" si="15"/>
        <v>0.5</v>
      </c>
      <c r="K146" s="106">
        <f t="shared" si="16"/>
        <v>5539</v>
      </c>
      <c r="L146" s="106">
        <f t="shared" si="17"/>
        <v>1301.665</v>
      </c>
      <c r="M146" s="44" t="str">
        <f>_XLL.DECIMALE.HEX((L146-513)/1.3)</f>
        <v>25E</v>
      </c>
    </row>
    <row r="147" spans="1:13" ht="15">
      <c r="A147" s="101" t="s">
        <v>156</v>
      </c>
      <c r="B147" s="45" t="s">
        <v>155</v>
      </c>
      <c r="C147" s="45" t="s">
        <v>148</v>
      </c>
      <c r="D147" s="102">
        <v>39114</v>
      </c>
      <c r="E147" s="52">
        <v>19</v>
      </c>
      <c r="F147" s="103">
        <v>27</v>
      </c>
      <c r="G147" s="103">
        <v>27.6</v>
      </c>
      <c r="H147" s="52">
        <v>18.4</v>
      </c>
      <c r="I147" s="109">
        <f t="shared" si="14"/>
        <v>-0.6000000000000014</v>
      </c>
      <c r="J147" s="108">
        <f t="shared" si="15"/>
        <v>0.6000000000000014</v>
      </c>
      <c r="K147" s="106">
        <f t="shared" si="16"/>
        <v>5519.75</v>
      </c>
      <c r="L147" s="106">
        <f t="shared" si="17"/>
        <v>1297.14125</v>
      </c>
      <c r="M147" s="44" t="str">
        <f>_XLL.DECIMALE.HEX((L147-513)/1.3)</f>
        <v>25B</v>
      </c>
    </row>
    <row r="148" spans="1:13" ht="15">
      <c r="A148" s="101" t="s">
        <v>154</v>
      </c>
      <c r="B148" s="45" t="s">
        <v>153</v>
      </c>
      <c r="C148" s="45" t="s">
        <v>148</v>
      </c>
      <c r="D148" s="102">
        <v>39092</v>
      </c>
      <c r="E148" s="52">
        <v>19</v>
      </c>
      <c r="F148" s="103">
        <v>26</v>
      </c>
      <c r="G148" s="103">
        <v>27.4</v>
      </c>
      <c r="H148" s="52">
        <v>18.4</v>
      </c>
      <c r="I148" s="109">
        <f t="shared" si="14"/>
        <v>-1.3999999999999986</v>
      </c>
      <c r="J148" s="108">
        <f t="shared" si="15"/>
        <v>0.6000000000000014</v>
      </c>
      <c r="K148" s="106">
        <f t="shared" si="16"/>
        <v>5500.5</v>
      </c>
      <c r="L148" s="106">
        <f t="shared" si="17"/>
        <v>1292.6174999999998</v>
      </c>
      <c r="M148" s="44" t="str">
        <f>_XLL.DECIMALE.HEX((L148-513)/1.3)</f>
        <v>257</v>
      </c>
    </row>
    <row r="149" spans="1:13" ht="15">
      <c r="A149" s="101" t="s">
        <v>152</v>
      </c>
      <c r="B149" s="45" t="s">
        <v>151</v>
      </c>
      <c r="C149" s="45" t="s">
        <v>148</v>
      </c>
      <c r="D149" s="102">
        <v>39092</v>
      </c>
      <c r="E149" s="52">
        <v>19</v>
      </c>
      <c r="F149" s="103">
        <v>28</v>
      </c>
      <c r="G149" s="103">
        <v>27.5</v>
      </c>
      <c r="H149" s="52">
        <v>18.2</v>
      </c>
      <c r="I149" s="109">
        <f t="shared" si="14"/>
        <v>0.5</v>
      </c>
      <c r="J149" s="108">
        <f t="shared" si="15"/>
        <v>0.8000000000000007</v>
      </c>
      <c r="K149" s="106">
        <f t="shared" si="16"/>
        <v>5539</v>
      </c>
      <c r="L149" s="106">
        <f t="shared" si="17"/>
        <v>1301.665</v>
      </c>
      <c r="M149" s="44" t="str">
        <f>_XLL.DECIMALE.HEX((L149-513)/1.3)</f>
        <v>25E</v>
      </c>
    </row>
    <row r="150" spans="1:13" ht="15">
      <c r="A150" s="101" t="s">
        <v>150</v>
      </c>
      <c r="B150" s="45" t="s">
        <v>149</v>
      </c>
      <c r="C150" s="45" t="s">
        <v>148</v>
      </c>
      <c r="D150" s="102">
        <v>39097</v>
      </c>
      <c r="E150" s="52">
        <v>20</v>
      </c>
      <c r="F150" s="103">
        <v>27</v>
      </c>
      <c r="G150" s="103">
        <v>24.5</v>
      </c>
      <c r="H150" s="52">
        <v>18.5</v>
      </c>
      <c r="I150" s="109">
        <f t="shared" si="14"/>
        <v>2.5</v>
      </c>
      <c r="J150" s="108">
        <f t="shared" si="15"/>
        <v>1.5</v>
      </c>
      <c r="K150" s="106">
        <f t="shared" si="16"/>
        <v>5519.75</v>
      </c>
      <c r="L150" s="106">
        <f t="shared" si="17"/>
        <v>1297.14125</v>
      </c>
      <c r="M150" s="44" t="str">
        <f>_XLL.DECIMALE.HEX((L150-513)/1.3)</f>
        <v>25B</v>
      </c>
    </row>
    <row r="151" spans="1:13" ht="15">
      <c r="A151" s="101" t="s">
        <v>147</v>
      </c>
      <c r="B151" s="45" t="s">
        <v>146</v>
      </c>
      <c r="C151" s="45" t="s">
        <v>125</v>
      </c>
      <c r="D151" s="102">
        <v>39099</v>
      </c>
      <c r="E151" s="52">
        <v>21</v>
      </c>
      <c r="F151" s="103">
        <v>24</v>
      </c>
      <c r="G151" s="103">
        <v>28.4</v>
      </c>
      <c r="H151" s="52">
        <v>18.3</v>
      </c>
      <c r="I151" s="109">
        <f t="shared" si="14"/>
        <v>-4.399999999999999</v>
      </c>
      <c r="J151" s="108">
        <f t="shared" si="15"/>
        <v>2.6999999999999993</v>
      </c>
      <c r="K151" s="106">
        <f t="shared" si="16"/>
        <v>5462</v>
      </c>
      <c r="L151" s="106">
        <f t="shared" si="17"/>
        <v>1283.57</v>
      </c>
      <c r="M151" s="44" t="str">
        <f>_XLL.DECIMALE.HEX((L151-513)/1.3)</f>
        <v>250</v>
      </c>
    </row>
    <row r="152" spans="1:13" ht="15">
      <c r="A152" s="101" t="s">
        <v>145</v>
      </c>
      <c r="B152" s="45" t="s">
        <v>144</v>
      </c>
      <c r="C152" s="45" t="s">
        <v>125</v>
      </c>
      <c r="D152" s="102">
        <v>39098</v>
      </c>
      <c r="E152" s="52">
        <v>21.5</v>
      </c>
      <c r="F152" s="103">
        <v>22.4</v>
      </c>
      <c r="G152" s="103">
        <v>29.1</v>
      </c>
      <c r="H152" s="52">
        <v>18.4</v>
      </c>
      <c r="I152" s="109">
        <f t="shared" si="14"/>
        <v>-6.700000000000003</v>
      </c>
      <c r="J152" s="108">
        <f t="shared" si="15"/>
        <v>3.1000000000000014</v>
      </c>
      <c r="K152" s="106">
        <f t="shared" si="16"/>
        <v>5431.2</v>
      </c>
      <c r="L152" s="106">
        <f t="shared" si="17"/>
        <v>1276.3319999999999</v>
      </c>
      <c r="M152" s="44" t="str">
        <f>_XLL.DECIMALE.HEX((L152-513)/1.3)</f>
        <v>24B</v>
      </c>
    </row>
    <row r="153" spans="1:13" ht="15">
      <c r="A153" s="101" t="s">
        <v>143</v>
      </c>
      <c r="B153" s="45" t="s">
        <v>142</v>
      </c>
      <c r="C153" s="45" t="s">
        <v>125</v>
      </c>
      <c r="D153" s="102">
        <v>39101</v>
      </c>
      <c r="E153" s="52">
        <v>18.1</v>
      </c>
      <c r="F153" s="103">
        <v>26.7</v>
      </c>
      <c r="G153" s="103">
        <v>26.5</v>
      </c>
      <c r="H153" s="52">
        <v>18</v>
      </c>
      <c r="I153" s="109">
        <f t="shared" si="14"/>
        <v>0.1999999999999993</v>
      </c>
      <c r="J153" s="108">
        <f t="shared" si="15"/>
        <v>0.10000000000000142</v>
      </c>
      <c r="K153" s="106">
        <f t="shared" si="16"/>
        <v>5513.975</v>
      </c>
      <c r="L153" s="106">
        <f t="shared" si="17"/>
        <v>1295.784125</v>
      </c>
      <c r="M153" s="44" t="str">
        <f>_XLL.DECIMALE.HEX((L153-513)/1.3)</f>
        <v>25A</v>
      </c>
    </row>
    <row r="154" spans="1:13" ht="15">
      <c r="A154" s="101" t="s">
        <v>141</v>
      </c>
      <c r="B154" s="45" t="s">
        <v>140</v>
      </c>
      <c r="C154" s="45" t="s">
        <v>125</v>
      </c>
      <c r="D154" s="102">
        <v>39105</v>
      </c>
      <c r="E154" s="52">
        <v>21</v>
      </c>
      <c r="F154" s="103">
        <v>30</v>
      </c>
      <c r="G154" s="103">
        <v>27.5</v>
      </c>
      <c r="H154" s="52">
        <v>18.4</v>
      </c>
      <c r="I154" s="109">
        <f t="shared" si="14"/>
        <v>2.5</v>
      </c>
      <c r="J154" s="108">
        <f t="shared" si="15"/>
        <v>2.6000000000000014</v>
      </c>
      <c r="K154" s="106">
        <f t="shared" si="16"/>
        <v>5577.5</v>
      </c>
      <c r="L154" s="106">
        <f t="shared" si="17"/>
        <v>1310.7124999999999</v>
      </c>
      <c r="M154" s="44" t="str">
        <f>_XLL.DECIMALE.HEX((L154-513)/1.3)</f>
        <v>265</v>
      </c>
    </row>
    <row r="155" spans="1:13" ht="15">
      <c r="A155" s="101" t="s">
        <v>139</v>
      </c>
      <c r="B155" s="45" t="s">
        <v>138</v>
      </c>
      <c r="C155" s="45" t="s">
        <v>125</v>
      </c>
      <c r="D155" s="102">
        <v>39113</v>
      </c>
      <c r="E155" s="52">
        <v>19</v>
      </c>
      <c r="F155" s="103">
        <v>28</v>
      </c>
      <c r="G155" s="103">
        <v>27.5</v>
      </c>
      <c r="H155" s="52">
        <v>18.4</v>
      </c>
      <c r="I155" s="109">
        <f t="shared" si="14"/>
        <v>0.5</v>
      </c>
      <c r="J155" s="108">
        <f t="shared" si="15"/>
        <v>0.6000000000000014</v>
      </c>
      <c r="K155" s="106">
        <f t="shared" si="16"/>
        <v>5539</v>
      </c>
      <c r="L155" s="106">
        <f t="shared" si="17"/>
        <v>1301.665</v>
      </c>
      <c r="M155" s="44" t="str">
        <f>_XLL.DECIMALE.HEX((L155-513)/1.3)</f>
        <v>25E</v>
      </c>
    </row>
    <row r="156" spans="1:13" ht="15">
      <c r="A156" s="101" t="s">
        <v>137</v>
      </c>
      <c r="B156" s="45" t="s">
        <v>136</v>
      </c>
      <c r="C156" s="45" t="s">
        <v>125</v>
      </c>
      <c r="D156" s="102">
        <v>39112</v>
      </c>
      <c r="E156" s="52">
        <v>19</v>
      </c>
      <c r="F156" s="103">
        <v>27</v>
      </c>
      <c r="G156" s="103">
        <v>27.3</v>
      </c>
      <c r="H156" s="52">
        <v>18.4</v>
      </c>
      <c r="I156" s="109">
        <f t="shared" si="14"/>
        <v>-0.3000000000000007</v>
      </c>
      <c r="J156" s="108">
        <f t="shared" si="15"/>
        <v>0.6000000000000014</v>
      </c>
      <c r="K156" s="106">
        <f t="shared" si="16"/>
        <v>5519.75</v>
      </c>
      <c r="L156" s="106">
        <f t="shared" si="17"/>
        <v>1297.14125</v>
      </c>
      <c r="M156" s="44" t="str">
        <f>_XLL.DECIMALE.HEX((L156-513)/1.3)</f>
        <v>25B</v>
      </c>
    </row>
    <row r="157" spans="1:13" ht="15">
      <c r="A157" s="101" t="s">
        <v>135</v>
      </c>
      <c r="B157" s="45" t="s">
        <v>134</v>
      </c>
      <c r="C157" s="45" t="s">
        <v>125</v>
      </c>
      <c r="D157" s="102">
        <v>39113</v>
      </c>
      <c r="E157" s="52">
        <v>19</v>
      </c>
      <c r="F157" s="103">
        <v>21</v>
      </c>
      <c r="G157" s="103">
        <v>26</v>
      </c>
      <c r="H157" s="52">
        <v>18.3</v>
      </c>
      <c r="I157" s="109">
        <f t="shared" si="14"/>
        <v>-5</v>
      </c>
      <c r="J157" s="108">
        <f t="shared" si="15"/>
        <v>0.6999999999999993</v>
      </c>
      <c r="K157" s="106">
        <f t="shared" si="16"/>
        <v>5404.25</v>
      </c>
      <c r="L157" s="106">
        <f t="shared" si="17"/>
        <v>1269.99875</v>
      </c>
      <c r="M157" s="44" t="str">
        <f>_XLL.DECIMALE.HEX((L157-513)/1.3)</f>
        <v>246</v>
      </c>
    </row>
    <row r="158" spans="1:13" ht="15">
      <c r="A158" s="101" t="s">
        <v>133</v>
      </c>
      <c r="B158" s="45" t="s">
        <v>132</v>
      </c>
      <c r="C158" s="45" t="s">
        <v>125</v>
      </c>
      <c r="D158" s="102">
        <v>39114</v>
      </c>
      <c r="E158" s="52">
        <v>19</v>
      </c>
      <c r="F158" s="103">
        <v>28.6</v>
      </c>
      <c r="G158" s="103">
        <v>26.5</v>
      </c>
      <c r="H158" s="52">
        <v>18.6</v>
      </c>
      <c r="I158" s="109">
        <f t="shared" si="14"/>
        <v>2.1000000000000014</v>
      </c>
      <c r="J158" s="108">
        <f t="shared" si="15"/>
        <v>0.3999999999999986</v>
      </c>
      <c r="K158" s="106">
        <f t="shared" si="16"/>
        <v>5550.55</v>
      </c>
      <c r="L158" s="106">
        <f t="shared" si="17"/>
        <v>1304.37925</v>
      </c>
      <c r="M158" s="44" t="str">
        <f>_XLL.DECIMALE.HEX((L158-513)/1.3)</f>
        <v>260</v>
      </c>
    </row>
    <row r="159" spans="1:13" ht="15">
      <c r="A159" s="101" t="s">
        <v>131</v>
      </c>
      <c r="B159" s="45" t="s">
        <v>130</v>
      </c>
      <c r="C159" s="45" t="s">
        <v>125</v>
      </c>
      <c r="D159" s="102">
        <v>39115</v>
      </c>
      <c r="E159" s="52">
        <v>20.5</v>
      </c>
      <c r="F159" s="103">
        <v>27.5</v>
      </c>
      <c r="G159" s="103">
        <v>28</v>
      </c>
      <c r="H159" s="52">
        <v>18.6</v>
      </c>
      <c r="I159" s="109">
        <f t="shared" si="14"/>
        <v>-0.5</v>
      </c>
      <c r="J159" s="108">
        <f t="shared" si="15"/>
        <v>1.8999999999999986</v>
      </c>
      <c r="K159" s="106">
        <f t="shared" si="16"/>
        <v>5529.375</v>
      </c>
      <c r="L159" s="106">
        <f t="shared" si="17"/>
        <v>1299.4031249999998</v>
      </c>
      <c r="M159" s="44" t="str">
        <f>_XLL.DECIMALE.HEX((L159-513)/1.3)</f>
        <v>25C</v>
      </c>
    </row>
    <row r="160" spans="1:13" ht="15">
      <c r="A160" s="101" t="s">
        <v>129</v>
      </c>
      <c r="B160" s="45" t="s">
        <v>128</v>
      </c>
      <c r="C160" s="45" t="s">
        <v>125</v>
      </c>
      <c r="D160" s="102">
        <v>39125</v>
      </c>
      <c r="E160" s="52">
        <v>19</v>
      </c>
      <c r="F160" s="103">
        <v>27</v>
      </c>
      <c r="G160" s="103">
        <v>25.5</v>
      </c>
      <c r="H160" s="52">
        <v>18.4</v>
      </c>
      <c r="I160" s="109">
        <f t="shared" si="14"/>
        <v>1.5</v>
      </c>
      <c r="J160" s="108">
        <f t="shared" si="15"/>
        <v>0.6000000000000014</v>
      </c>
      <c r="K160" s="106">
        <f t="shared" si="16"/>
        <v>5519.75</v>
      </c>
      <c r="L160" s="106">
        <f t="shared" si="17"/>
        <v>1297.14125</v>
      </c>
      <c r="M160" s="44" t="str">
        <f>_XLL.DECIMALE.HEX((L160-513)/1.3)</f>
        <v>25B</v>
      </c>
    </row>
    <row r="161" spans="1:13" ht="15">
      <c r="A161" s="101" t="s">
        <v>127</v>
      </c>
      <c r="B161" s="45" t="s">
        <v>126</v>
      </c>
      <c r="C161" s="45" t="s">
        <v>125</v>
      </c>
      <c r="D161" s="102">
        <v>39125</v>
      </c>
      <c r="E161" s="52">
        <v>18</v>
      </c>
      <c r="F161" s="103">
        <v>30</v>
      </c>
      <c r="G161" s="103">
        <v>28</v>
      </c>
      <c r="H161" s="52">
        <v>18</v>
      </c>
      <c r="I161" s="109">
        <f t="shared" si="14"/>
        <v>2</v>
      </c>
      <c r="J161" s="108">
        <f t="shared" si="15"/>
        <v>0</v>
      </c>
      <c r="K161" s="106">
        <f t="shared" si="16"/>
        <v>5577.5</v>
      </c>
      <c r="L161" s="106">
        <f t="shared" si="17"/>
        <v>1310.7124999999999</v>
      </c>
      <c r="M161" s="44" t="str">
        <f>_XLL.DECIMALE.HEX((L161-513)/1.3)</f>
        <v>265</v>
      </c>
    </row>
    <row r="162" spans="1:13" ht="15">
      <c r="A162" s="101" t="s">
        <v>124</v>
      </c>
      <c r="B162" s="45" t="s">
        <v>123</v>
      </c>
      <c r="C162" s="45" t="s">
        <v>118</v>
      </c>
      <c r="D162" s="102">
        <v>39133</v>
      </c>
      <c r="E162" s="52">
        <v>19</v>
      </c>
      <c r="F162" s="103">
        <v>29</v>
      </c>
      <c r="G162" s="103">
        <v>28.3</v>
      </c>
      <c r="H162" s="52">
        <v>18.2</v>
      </c>
      <c r="I162" s="109">
        <f t="shared" si="14"/>
        <v>0.6999999999999993</v>
      </c>
      <c r="J162" s="108">
        <f t="shared" si="15"/>
        <v>0.8000000000000007</v>
      </c>
      <c r="K162" s="106">
        <f t="shared" si="16"/>
        <v>5558.25</v>
      </c>
      <c r="L162" s="106">
        <f t="shared" si="17"/>
        <v>1306.18875</v>
      </c>
      <c r="M162" s="44" t="str">
        <f>_XLL.DECIMALE.HEX((L162-513)/1.3)</f>
        <v>262</v>
      </c>
    </row>
    <row r="163" spans="1:13" ht="15">
      <c r="A163" s="101" t="s">
        <v>122</v>
      </c>
      <c r="B163" s="45" t="s">
        <v>121</v>
      </c>
      <c r="C163" s="45" t="s">
        <v>118</v>
      </c>
      <c r="D163" s="102">
        <v>39132</v>
      </c>
      <c r="E163" s="52">
        <v>19</v>
      </c>
      <c r="F163" s="103">
        <v>28</v>
      </c>
      <c r="G163" s="103">
        <v>27.6</v>
      </c>
      <c r="H163" s="52">
        <v>19</v>
      </c>
      <c r="I163" s="109">
        <f t="shared" si="14"/>
        <v>0.3999999999999986</v>
      </c>
      <c r="J163" s="108">
        <f t="shared" si="15"/>
        <v>0</v>
      </c>
      <c r="K163" s="106">
        <f t="shared" si="16"/>
        <v>5539</v>
      </c>
      <c r="L163" s="106">
        <f t="shared" si="17"/>
        <v>1301.665</v>
      </c>
      <c r="M163" s="44" t="str">
        <f>_XLL.DECIMALE.HEX((L163-513)/1.3)</f>
        <v>25E</v>
      </c>
    </row>
    <row r="164" spans="1:13" ht="15">
      <c r="A164" s="101" t="s">
        <v>120</v>
      </c>
      <c r="B164" s="45" t="s">
        <v>119</v>
      </c>
      <c r="C164" s="45" t="s">
        <v>118</v>
      </c>
      <c r="D164" s="102">
        <v>39133</v>
      </c>
      <c r="E164" s="52">
        <v>20</v>
      </c>
      <c r="F164" s="103">
        <v>30</v>
      </c>
      <c r="G164" s="103">
        <v>28.8</v>
      </c>
      <c r="H164" s="52">
        <v>18</v>
      </c>
      <c r="I164" s="109">
        <f t="shared" si="14"/>
        <v>1.1999999999999993</v>
      </c>
      <c r="J164" s="108">
        <f t="shared" si="15"/>
        <v>2</v>
      </c>
      <c r="K164" s="106">
        <f t="shared" si="16"/>
        <v>5577.5</v>
      </c>
      <c r="L164" s="106">
        <f t="shared" si="17"/>
        <v>1310.7124999999999</v>
      </c>
      <c r="M164" s="44" t="str">
        <f>_XLL.DECIMALE.HEX((L164-513)/1.3)</f>
        <v>265</v>
      </c>
    </row>
    <row r="165" spans="1:13" ht="16.5" thickBot="1">
      <c r="A165" s="116"/>
      <c r="B165" s="117"/>
      <c r="C165" s="117"/>
      <c r="D165" s="117"/>
      <c r="E165" s="118" t="s">
        <v>117</v>
      </c>
      <c r="F165" s="119" t="s">
        <v>116</v>
      </c>
      <c r="G165" s="119" t="s">
        <v>115</v>
      </c>
      <c r="H165" s="118" t="s">
        <v>114</v>
      </c>
      <c r="I165" s="120" t="s">
        <v>502</v>
      </c>
      <c r="J165" s="121" t="s">
        <v>503</v>
      </c>
      <c r="K165" s="41" t="s">
        <v>113</v>
      </c>
      <c r="L165" s="41" t="s">
        <v>112</v>
      </c>
      <c r="M165" s="41" t="s">
        <v>111</v>
      </c>
    </row>
    <row r="169" ht="15.75">
      <c r="K169" s="41" t="s">
        <v>110</v>
      </c>
    </row>
    <row r="170" ht="15.75">
      <c r="K170" s="41" t="s">
        <v>109</v>
      </c>
    </row>
    <row r="171" ht="15.75">
      <c r="K171" s="41" t="s">
        <v>108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Caselle Michele</cp:lastModifiedBy>
  <cp:lastPrinted>2006-11-03T15:42:38Z</cp:lastPrinted>
  <dcterms:created xsi:type="dcterms:W3CDTF">1996-10-14T23:33:28Z</dcterms:created>
  <dcterms:modified xsi:type="dcterms:W3CDTF">2007-03-10T16:42:57Z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